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drawings/drawing9.xml" ContentType="application/vnd.openxmlformats-officedocument.drawing+xml"/>
  <Override PartName="/xl/comments11.xml" ContentType="application/vnd.openxmlformats-officedocument.spreadsheetml.comments+xml"/>
  <Override PartName="/xl/drawings/drawing10.xml" ContentType="application/vnd.openxmlformats-officedocument.drawing+xml"/>
  <Override PartName="/xl/comments12.xml" ContentType="application/vnd.openxmlformats-officedocument.spreadsheetml.comments+xml"/>
  <Override PartName="/xl/drawings/drawing11.xml" ContentType="application/vnd.openxmlformats-officedocument.drawing+xml"/>
  <Override PartName="/xl/comments13.xml" ContentType="application/vnd.openxmlformats-officedocument.spreadsheetml.comments+xml"/>
  <Override PartName="/xl/drawings/drawing12.xml" ContentType="application/vnd.openxmlformats-officedocument.drawing+xml"/>
  <Override PartName="/xl/comments14.xml" ContentType="application/vnd.openxmlformats-officedocument.spreadsheetml.comments+xml"/>
  <Override PartName="/xl/drawings/drawing13.xml" ContentType="application/vnd.openxmlformats-officedocument.drawing+xml"/>
  <Override PartName="/xl/comments15.xml" ContentType="application/vnd.openxmlformats-officedocument.spreadsheetml.comments+xml"/>
  <Override PartName="/xl/drawings/drawing14.xml" ContentType="application/vnd.openxmlformats-officedocument.drawing+xml"/>
  <Override PartName="/xl/comments16.xml" ContentType="application/vnd.openxmlformats-officedocument.spreadsheetml.comments+xml"/>
  <Override PartName="/xl/drawings/drawing15.xml" ContentType="application/vnd.openxmlformats-officedocument.drawing+xml"/>
  <Override PartName="/xl/comments17.xml" ContentType="application/vnd.openxmlformats-officedocument.spreadsheetml.comments+xml"/>
  <Override PartName="/xl/drawings/drawing16.xml" ContentType="application/vnd.openxmlformats-officedocument.drawing+xml"/>
  <Override PartName="/xl/comments1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Jaime\Plan Operativo Anual 2016\Segmnto POA a 30JUN 2016\Inf final\7.Of Pronósticos x\"/>
    </mc:Choice>
  </mc:AlternateContent>
  <bookViews>
    <workbookView xWindow="0" yWindow="0" windowWidth="19200" windowHeight="10335" activeTab="14"/>
  </bookViews>
  <sheets>
    <sheet name="PRESUPUESTO POA 2016" sheetId="24" r:id="rId1"/>
    <sheet name="METEOROLOGÍA" sheetId="18" state="hidden" r:id="rId2"/>
    <sheet name=" Sgmto OCI Jun" sheetId="26" state="hidden" r:id="rId3"/>
    <sheet name="HIDROLOGÍA" sheetId="16" state="hidden" r:id="rId4"/>
    <sheet name="Sgmnto OCIJun" sheetId="27" state="hidden" r:id="rId5"/>
    <sheet name="ESTUDIOS AMBIENTALES" sheetId="15" state="hidden" r:id="rId6"/>
    <sheet name="Sgmnto OCI EST AMB" sheetId="30" state="hidden" r:id="rId7"/>
    <sheet name="ECOSISTEMAS" sheetId="17" state="hidden" r:id="rId8"/>
    <sheet name="Sgmnto OCI ECOS" sheetId="31" state="hidden" r:id="rId9"/>
    <sheet name="REDES" sheetId="19" state="hidden" r:id="rId10"/>
    <sheet name="Sgmnto OCI REDES" sheetId="32" state="hidden" r:id="rId11"/>
    <sheet name="INFORMÁTICA" sheetId="21" state="hidden" r:id="rId12"/>
    <sheet name="Sgmnto OCI INFOR" sheetId="33" state="hidden" r:id="rId13"/>
    <sheet name="PRONÓSTICOS" sheetId="20" r:id="rId14"/>
    <sheet name="Sgmnto OCI PRON" sheetId="34" r:id="rId15"/>
    <sheet name="SECRETARÍA GENERAL" sheetId="23" state="hidden" r:id="rId16"/>
    <sheet name="Sgmnto OCI SGRAL" sheetId="35" state="hidden" r:id="rId17"/>
    <sheet name="PLANEACIÓN" sheetId="22" state="hidden" r:id="rId18"/>
    <sheet name="Sgmnto OCI PLAN" sheetId="36" state="hidden" r:id="rId19"/>
  </sheets>
  <externalReferences>
    <externalReference r:id="rId20"/>
  </externalReferences>
  <definedNames>
    <definedName name="_xlnm.Print_Area" localSheetId="2">' Sgmto OCI Jun'!$A$1:$Y$70</definedName>
    <definedName name="_xlnm.Print_Area" localSheetId="5">'ESTUDIOS AMBIENTALES'!$I$2:$AC$45</definedName>
    <definedName name="_xlnm.Print_Area" localSheetId="6">'Sgmnto OCI EST AMB'!$I$2:$AC$45</definedName>
    <definedName name="Tipos_de_proceso_de_seleccion">'[1]3. DETALLE PLAN DE CONTRATACION'!$L$493:$L$502</definedName>
  </definedNames>
  <calcPr calcId="152511"/>
</workbook>
</file>

<file path=xl/calcChain.xml><?xml version="1.0" encoding="utf-8"?>
<calcChain xmlns="http://schemas.openxmlformats.org/spreadsheetml/2006/main">
  <c r="U14" i="36" l="1"/>
  <c r="T14" i="36"/>
  <c r="S14" i="36"/>
  <c r="R14" i="36"/>
  <c r="Q14" i="36"/>
  <c r="I13" i="36"/>
  <c r="Q12" i="36"/>
  <c r="R11" i="36"/>
  <c r="Q11" i="36"/>
  <c r="I11" i="36"/>
  <c r="U14" i="22"/>
  <c r="T14" i="22"/>
  <c r="S14" i="22"/>
  <c r="R14" i="22"/>
  <c r="Q14" i="22"/>
  <c r="I13" i="22"/>
  <c r="Q12" i="22"/>
  <c r="U11" i="22"/>
  <c r="R11" i="22"/>
  <c r="Q11" i="22"/>
  <c r="I11" i="22"/>
  <c r="U22" i="35"/>
  <c r="T22" i="35"/>
  <c r="S22" i="35"/>
  <c r="R22" i="35"/>
  <c r="Q22" i="35"/>
  <c r="Q20" i="35"/>
  <c r="I19" i="35"/>
  <c r="I18" i="35"/>
  <c r="Q15" i="35"/>
  <c r="I15" i="35"/>
  <c r="I12" i="35"/>
  <c r="I11" i="35"/>
  <c r="Q10" i="35"/>
  <c r="I10" i="35"/>
  <c r="I9" i="35"/>
  <c r="Q8" i="35"/>
  <c r="I8" i="35"/>
  <c r="U22" i="23"/>
  <c r="T22" i="23"/>
  <c r="S22" i="23"/>
  <c r="R22" i="23"/>
  <c r="Q22" i="23"/>
  <c r="U20" i="23"/>
  <c r="Q20" i="23"/>
  <c r="I19" i="23"/>
  <c r="I18" i="23"/>
  <c r="Q15" i="23"/>
  <c r="I15" i="23"/>
  <c r="I12" i="23"/>
  <c r="I11" i="23"/>
  <c r="R10" i="23"/>
  <c r="Q10" i="23"/>
  <c r="I10" i="23"/>
  <c r="I9" i="23"/>
  <c r="R8" i="23"/>
  <c r="Q8" i="23"/>
  <c r="I8" i="23"/>
  <c r="U15" i="34"/>
  <c r="T15" i="34"/>
  <c r="S15" i="34"/>
  <c r="R15" i="34"/>
  <c r="Q15" i="34" s="1"/>
  <c r="Q14" i="34"/>
  <c r="I14" i="34"/>
  <c r="U12" i="34"/>
  <c r="Q12" i="34"/>
  <c r="O12" i="34"/>
  <c r="H12" i="34"/>
  <c r="I12" i="34" s="1"/>
  <c r="G12" i="34"/>
  <c r="F12" i="34"/>
  <c r="E12" i="34"/>
  <c r="R11" i="34"/>
  <c r="Q11" i="34"/>
  <c r="I11" i="34"/>
  <c r="Q10" i="34"/>
  <c r="O10" i="34"/>
  <c r="H10" i="34"/>
  <c r="G10" i="34"/>
  <c r="I10" i="34" s="1"/>
  <c r="F10" i="34"/>
  <c r="E10" i="34"/>
  <c r="Q9" i="34"/>
  <c r="I9" i="34"/>
  <c r="U15" i="20"/>
  <c r="T15" i="20"/>
  <c r="S15" i="20"/>
  <c r="R15" i="20"/>
  <c r="Q15" i="20"/>
  <c r="Q14" i="20"/>
  <c r="I14" i="20"/>
  <c r="U12" i="20"/>
  <c r="Q12" i="20"/>
  <c r="O12" i="20"/>
  <c r="I12" i="20"/>
  <c r="H12" i="20"/>
  <c r="G12" i="20"/>
  <c r="F12" i="20"/>
  <c r="E12" i="20"/>
  <c r="R11" i="20"/>
  <c r="Q11" i="20"/>
  <c r="I11" i="20"/>
  <c r="Q10" i="20"/>
  <c r="O10" i="20"/>
  <c r="I10" i="20"/>
  <c r="H10" i="20"/>
  <c r="G10" i="20"/>
  <c r="F10" i="20"/>
  <c r="E10" i="20"/>
  <c r="Q9" i="20"/>
  <c r="I9" i="20"/>
  <c r="U15" i="33"/>
  <c r="T15" i="33"/>
  <c r="S15" i="33"/>
  <c r="R15" i="33"/>
  <c r="Q15" i="33"/>
  <c r="R14" i="33"/>
  <c r="Q14" i="33"/>
  <c r="I14" i="33"/>
  <c r="Q13" i="33"/>
  <c r="I13" i="33"/>
  <c r="U12" i="33"/>
  <c r="R12" i="33"/>
  <c r="Q12" i="33"/>
  <c r="Q11" i="33"/>
  <c r="I11" i="33"/>
  <c r="R10" i="33"/>
  <c r="Q10" i="33"/>
  <c r="I10" i="33"/>
  <c r="U15" i="21"/>
  <c r="T15" i="21"/>
  <c r="S15" i="21"/>
  <c r="R15" i="21"/>
  <c r="Q15" i="21"/>
  <c r="R14" i="21"/>
  <c r="Q14" i="21"/>
  <c r="I14" i="21"/>
  <c r="Q13" i="21"/>
  <c r="I13" i="21"/>
  <c r="U12" i="21"/>
  <c r="R12" i="21"/>
  <c r="Q12" i="21"/>
  <c r="Q11" i="21"/>
  <c r="I11" i="21"/>
  <c r="R10" i="21"/>
  <c r="Q10" i="21"/>
  <c r="I10" i="21"/>
  <c r="U16" i="32"/>
  <c r="T16" i="32"/>
  <c r="S16" i="32"/>
  <c r="R16" i="32"/>
  <c r="Q16" i="32"/>
  <c r="Q15" i="32"/>
  <c r="Q14" i="32"/>
  <c r="I14" i="32"/>
  <c r="Q13" i="32"/>
  <c r="I13" i="32"/>
  <c r="Q12" i="32"/>
  <c r="I12" i="32"/>
  <c r="R11" i="32"/>
  <c r="Q11" i="32"/>
  <c r="Q9" i="32"/>
  <c r="I9" i="32"/>
  <c r="U16" i="19"/>
  <c r="T16" i="19"/>
  <c r="S16" i="19"/>
  <c r="R16" i="19"/>
  <c r="Q16" i="19"/>
  <c r="Q15" i="19"/>
  <c r="Q14" i="19"/>
  <c r="I14" i="19"/>
  <c r="Q13" i="19"/>
  <c r="I13" i="19"/>
  <c r="Q12" i="19"/>
  <c r="I12" i="19"/>
  <c r="R11" i="19"/>
  <c r="Q11" i="19"/>
  <c r="Q9" i="19"/>
  <c r="I9" i="19"/>
  <c r="U30" i="31"/>
  <c r="T30" i="31"/>
  <c r="S30" i="31"/>
  <c r="R30" i="31"/>
  <c r="Q30" i="31"/>
  <c r="I27" i="31"/>
  <c r="R26" i="31"/>
  <c r="Q26" i="31"/>
  <c r="I26" i="31"/>
  <c r="U22" i="31"/>
  <c r="R22" i="31"/>
  <c r="Q22" i="31"/>
  <c r="I22" i="31"/>
  <c r="I19" i="31"/>
  <c r="R18" i="31"/>
  <c r="Q18" i="31"/>
  <c r="I18" i="31"/>
  <c r="I12" i="31"/>
  <c r="R10" i="31"/>
  <c r="Q10" i="31"/>
  <c r="I10" i="31"/>
  <c r="U30" i="17"/>
  <c r="T30" i="17"/>
  <c r="S30" i="17"/>
  <c r="R30" i="17"/>
  <c r="Q30" i="17"/>
  <c r="I27" i="17"/>
  <c r="R26" i="17"/>
  <c r="Q26" i="17"/>
  <c r="I26" i="17"/>
  <c r="U22" i="17"/>
  <c r="R22" i="17"/>
  <c r="Q22" i="17"/>
  <c r="I22" i="17"/>
  <c r="I19" i="17"/>
  <c r="R18" i="17"/>
  <c r="Q18" i="17"/>
  <c r="I18" i="17"/>
  <c r="I12" i="17"/>
  <c r="R10" i="17"/>
  <c r="Q10" i="17"/>
  <c r="I10" i="17"/>
  <c r="AC45" i="30"/>
  <c r="AB45" i="30"/>
  <c r="AA45" i="30"/>
  <c r="Z45" i="30"/>
  <c r="Y45" i="30"/>
  <c r="X45" i="30"/>
  <c r="X44" i="30"/>
  <c r="P44" i="30"/>
  <c r="X43" i="30"/>
  <c r="P43" i="30"/>
  <c r="Z36" i="30"/>
  <c r="Y36" i="30"/>
  <c r="X36" i="30"/>
  <c r="V36" i="30"/>
  <c r="P36" i="30"/>
  <c r="X32" i="30"/>
  <c r="P32" i="30"/>
  <c r="Y31" i="30"/>
  <c r="X31" i="30"/>
  <c r="X25" i="30"/>
  <c r="X19" i="30"/>
  <c r="Y18" i="30"/>
  <c r="X18" i="30"/>
  <c r="X17" i="30"/>
  <c r="X16" i="30"/>
  <c r="Y15" i="30"/>
  <c r="X15" i="30"/>
  <c r="P15" i="30"/>
  <c r="X11" i="30"/>
  <c r="P11" i="30"/>
  <c r="AC45" i="15"/>
  <c r="AB45" i="15"/>
  <c r="AA45" i="15"/>
  <c r="Z45" i="15"/>
  <c r="Y45" i="15"/>
  <c r="X45" i="15"/>
  <c r="X44" i="15"/>
  <c r="P44" i="15"/>
  <c r="X43" i="15"/>
  <c r="P43" i="15"/>
  <c r="Z36" i="15"/>
  <c r="Y36" i="15"/>
  <c r="X36" i="15"/>
  <c r="V36" i="15"/>
  <c r="P36" i="15"/>
  <c r="X32" i="15"/>
  <c r="P32" i="15"/>
  <c r="Y31" i="15"/>
  <c r="X31" i="15"/>
  <c r="X25" i="15"/>
  <c r="X19" i="15"/>
  <c r="Y18" i="15"/>
  <c r="X18" i="15"/>
  <c r="X17" i="15"/>
  <c r="X16" i="15"/>
  <c r="Y15" i="15"/>
  <c r="X15" i="15"/>
  <c r="P15" i="15"/>
  <c r="X11" i="15"/>
  <c r="P11" i="15"/>
  <c r="U35" i="27"/>
  <c r="T35" i="27"/>
  <c r="S35" i="27"/>
  <c r="R35" i="27"/>
  <c r="Q35" i="27"/>
  <c r="Q34" i="27"/>
  <c r="I34" i="27"/>
  <c r="I33" i="27"/>
  <c r="R32" i="27"/>
  <c r="Q32" i="27"/>
  <c r="I32" i="27"/>
  <c r="R27" i="27"/>
  <c r="Q27" i="27"/>
  <c r="I26" i="27"/>
  <c r="I25" i="27"/>
  <c r="I24" i="27"/>
  <c r="R23" i="27"/>
  <c r="Q23" i="27"/>
  <c r="I23" i="27"/>
  <c r="I21" i="27"/>
  <c r="U20" i="27"/>
  <c r="R20" i="27"/>
  <c r="Q20" i="27"/>
  <c r="I20" i="27"/>
  <c r="Q19" i="27"/>
  <c r="I19" i="27"/>
  <c r="Q18" i="27"/>
  <c r="R17" i="27"/>
  <c r="Q17" i="27"/>
  <c r="I17" i="27"/>
  <c r="I16" i="27"/>
  <c r="U15" i="27"/>
  <c r="T15" i="27"/>
  <c r="R15" i="27"/>
  <c r="Q15" i="27"/>
  <c r="Q14" i="27"/>
  <c r="I14" i="27"/>
  <c r="Q12" i="27"/>
  <c r="I12" i="27"/>
  <c r="U34" i="16"/>
  <c r="T34" i="16"/>
  <c r="S34" i="16"/>
  <c r="R34" i="16"/>
  <c r="Q34" i="16"/>
  <c r="Q33" i="16"/>
  <c r="I33" i="16"/>
  <c r="I32" i="16"/>
  <c r="R31" i="16"/>
  <c r="I31" i="16"/>
  <c r="R26" i="16"/>
  <c r="Q26" i="16"/>
  <c r="I25" i="16"/>
  <c r="I24" i="16"/>
  <c r="I23" i="16"/>
  <c r="R22" i="16"/>
  <c r="Q22" i="16"/>
  <c r="I22" i="16"/>
  <c r="I20" i="16"/>
  <c r="U19" i="16"/>
  <c r="R19" i="16"/>
  <c r="Q19" i="16"/>
  <c r="I19" i="16"/>
  <c r="Q18" i="16"/>
  <c r="I18" i="16"/>
  <c r="U17" i="16"/>
  <c r="Q17" i="16"/>
  <c r="R16" i="16"/>
  <c r="Q16" i="16"/>
  <c r="I16" i="16"/>
  <c r="I15" i="16"/>
  <c r="U14" i="16"/>
  <c r="T14" i="16"/>
  <c r="R14" i="16"/>
  <c r="Q14" i="16"/>
  <c r="Q13" i="16"/>
  <c r="I13" i="16"/>
  <c r="Q11" i="16"/>
  <c r="I11" i="16"/>
  <c r="U67" i="26"/>
  <c r="T67" i="26"/>
  <c r="S67" i="26"/>
  <c r="R67" i="26"/>
  <c r="Q67" i="26"/>
  <c r="U32" i="26"/>
  <c r="R32" i="26"/>
  <c r="Q32" i="26"/>
  <c r="Q27" i="26"/>
  <c r="I27" i="26"/>
  <c r="I21" i="26"/>
  <c r="Q20" i="26"/>
  <c r="I20" i="26"/>
  <c r="U19" i="26"/>
  <c r="Q19" i="26"/>
  <c r="O19" i="26"/>
  <c r="Q18" i="26"/>
  <c r="I18" i="26"/>
  <c r="Q12" i="26"/>
  <c r="R11" i="26"/>
  <c r="Q11" i="26"/>
  <c r="I11" i="26"/>
  <c r="U65" i="18"/>
  <c r="T65" i="18"/>
  <c r="S65" i="18"/>
  <c r="R65" i="18"/>
  <c r="Q65" i="18"/>
  <c r="U30" i="18"/>
  <c r="R30" i="18"/>
  <c r="Q30" i="18"/>
  <c r="Q25" i="18"/>
  <c r="I25" i="18"/>
  <c r="I19" i="18"/>
  <c r="Q18" i="18"/>
  <c r="I18" i="18"/>
  <c r="U17" i="18"/>
  <c r="Q17" i="18"/>
  <c r="O17" i="18"/>
  <c r="Q16" i="18"/>
  <c r="I16" i="18"/>
  <c r="Q10" i="18"/>
  <c r="R9" i="18"/>
  <c r="Q9" i="18"/>
  <c r="I9" i="18"/>
  <c r="L27" i="24"/>
  <c r="K27" i="24"/>
  <c r="J27" i="24"/>
  <c r="I27" i="24"/>
  <c r="O25" i="24"/>
  <c r="L25" i="24"/>
  <c r="O24" i="24"/>
  <c r="K24" i="24"/>
  <c r="I24" i="24"/>
  <c r="O23" i="24"/>
  <c r="K21" i="24"/>
  <c r="J21" i="24"/>
  <c r="I21" i="24"/>
  <c r="O20" i="24"/>
  <c r="M18" i="24"/>
  <c r="L18" i="24"/>
  <c r="K18" i="24"/>
  <c r="J18" i="24"/>
  <c r="M15" i="24"/>
  <c r="O14" i="24"/>
  <c r="M14" i="24"/>
  <c r="L14" i="24"/>
  <c r="K14" i="24"/>
  <c r="J14" i="24"/>
  <c r="S13" i="24"/>
  <c r="O13" i="24"/>
  <c r="M13" i="24"/>
  <c r="L13" i="24"/>
  <c r="K13" i="24"/>
  <c r="J13" i="24"/>
  <c r="O12" i="24"/>
  <c r="M12" i="24"/>
  <c r="L12" i="24"/>
  <c r="K12" i="24"/>
  <c r="J12" i="24"/>
  <c r="O11" i="24"/>
  <c r="M11" i="24"/>
  <c r="L11" i="24"/>
  <c r="K11" i="24"/>
  <c r="J11" i="24"/>
  <c r="O10" i="24"/>
  <c r="M10" i="24"/>
  <c r="L10" i="24"/>
  <c r="K10" i="24"/>
  <c r="J10" i="24"/>
  <c r="S9" i="24"/>
  <c r="O9" i="24"/>
  <c r="M9" i="24"/>
  <c r="L9" i="24"/>
  <c r="K9" i="24"/>
  <c r="J9" i="24"/>
  <c r="S8" i="24"/>
  <c r="O8" i="24"/>
  <c r="M8" i="24"/>
  <c r="L8" i="24"/>
  <c r="K8" i="24"/>
  <c r="J8" i="24"/>
  <c r="O7" i="24"/>
  <c r="M7" i="24"/>
  <c r="L7" i="24"/>
  <c r="K7" i="24"/>
  <c r="J7" i="24"/>
  <c r="O6" i="24"/>
  <c r="M6" i="24"/>
  <c r="L6" i="24"/>
  <c r="K6" i="24"/>
  <c r="J6" i="24"/>
  <c r="O5" i="24"/>
  <c r="M5" i="24"/>
  <c r="L5" i="24"/>
  <c r="K5" i="24"/>
  <c r="J5" i="24"/>
</calcChain>
</file>

<file path=xl/comments1.xml><?xml version="1.0" encoding="utf-8"?>
<comments xmlns="http://schemas.openxmlformats.org/spreadsheetml/2006/main">
  <authors>
    <author>Celmira Perez Fernandez</author>
  </authors>
  <commentList>
    <comment ref="U17" authorId="0" shapeId="0">
      <text>
        <r>
          <rPr>
            <b/>
            <sz val="9"/>
            <color indexed="81"/>
            <rFont val="Tahoma"/>
            <family val="2"/>
          </rPr>
          <t>Ene.26 tras a la act. 7 de Meteorología Rad.20164000000163 $4000000</t>
        </r>
      </text>
    </comment>
    <comment ref="U30" authorId="0" shapeId="0">
      <text>
        <r>
          <rPr>
            <b/>
            <sz val="9"/>
            <color indexed="81"/>
            <rFont val="Tahoma"/>
            <family val="2"/>
          </rPr>
          <t xml:space="preserve">Nov.26 tras de la act. 4, de Meteorología Rad.20164000000163 $4000000
Feb. 18 tras de Sría Gral $8000000
</t>
        </r>
      </text>
    </comment>
  </commentList>
</comments>
</file>

<file path=xl/comments10.xml><?xml version="1.0" encoding="utf-8"?>
<comments xmlns="http://schemas.openxmlformats.org/spreadsheetml/2006/main">
  <authors>
    <author>Celmira Perez Fernandez</author>
  </authors>
  <commentList>
    <comment ref="R11" authorId="0" shapeId="0">
      <text>
        <r>
          <rPr>
            <b/>
            <sz val="9"/>
            <color indexed="81"/>
            <rFont val="Tahoma"/>
            <family val="2"/>
          </rPr>
          <t>Mar.2 tras a la act. 1 Sría Gral $370000000
rad.20167000001923</t>
        </r>
      </text>
    </comment>
  </commentList>
</comments>
</file>

<file path=xl/comments11.xml><?xml version="1.0" encoding="utf-8"?>
<comments xmlns="http://schemas.openxmlformats.org/spreadsheetml/2006/main">
  <authors>
    <author>Celmira Perez Fernandez</author>
  </authors>
  <commentList>
    <comment ref="R12" authorId="0" shapeId="0">
      <text>
        <r>
          <rPr>
            <b/>
            <sz val="9"/>
            <color indexed="81"/>
            <rFont val="Tahoma"/>
            <family val="2"/>
          </rPr>
          <t>Jun.15 tras a la act. 5 de Informática $94000000</t>
        </r>
      </text>
    </comment>
    <comment ref="U12" authorId="0" shapeId="0">
      <text>
        <r>
          <rPr>
            <b/>
            <sz val="9"/>
            <color indexed="81"/>
            <rFont val="Tahoma"/>
            <family val="2"/>
          </rPr>
          <t>Abr.4 tras a la act.4 de Sría Gral $2266887,65</t>
        </r>
      </text>
    </comment>
    <comment ref="R14" authorId="0" shapeId="0">
      <text>
        <r>
          <rPr>
            <b/>
            <sz val="9"/>
            <color indexed="81"/>
            <rFont val="Tahoma"/>
            <family val="2"/>
          </rPr>
          <t>Jun.15 Tras de la act. 3 de Informática $94000000</t>
        </r>
      </text>
    </comment>
  </commentList>
</comments>
</file>

<file path=xl/comments12.xml><?xml version="1.0" encoding="utf-8"?>
<comments xmlns="http://schemas.openxmlformats.org/spreadsheetml/2006/main">
  <authors>
    <author>Celmira Perez Fernandez</author>
  </authors>
  <commentList>
    <comment ref="R12" authorId="0" shapeId="0">
      <text>
        <r>
          <rPr>
            <b/>
            <sz val="9"/>
            <color indexed="81"/>
            <rFont val="Tahoma"/>
            <family val="2"/>
          </rPr>
          <t>Jun.15 tras a la act. 5 de Informática $94000000</t>
        </r>
      </text>
    </comment>
    <comment ref="U12" authorId="0" shapeId="0">
      <text>
        <r>
          <rPr>
            <b/>
            <sz val="9"/>
            <color indexed="81"/>
            <rFont val="Tahoma"/>
            <family val="2"/>
          </rPr>
          <t>Abr.4 tras a la act.4 de Sría Gral $2266887,65</t>
        </r>
      </text>
    </comment>
    <comment ref="R14" authorId="0" shapeId="0">
      <text>
        <r>
          <rPr>
            <b/>
            <sz val="9"/>
            <color indexed="81"/>
            <rFont val="Tahoma"/>
            <family val="2"/>
          </rPr>
          <t>Jun.15 Tras de la act. 3 de Informática $94000000</t>
        </r>
      </text>
    </comment>
  </commentList>
</comments>
</file>

<file path=xl/comments13.xml><?xml version="1.0" encoding="utf-8"?>
<comments xmlns="http://schemas.openxmlformats.org/spreadsheetml/2006/main">
  <authors>
    <author>Celmira Perez Fernandez</author>
  </authors>
  <commentList>
    <comment ref="U12" authorId="0" shapeId="0">
      <text>
        <r>
          <rPr>
            <b/>
            <sz val="9"/>
            <color indexed="81"/>
            <rFont val="Tahoma"/>
            <family val="2"/>
          </rPr>
          <t xml:space="preserve">Abr.21 Tras de la Act. 4 de Sría Gral </t>
        </r>
        <r>
          <rPr>
            <b/>
            <u/>
            <sz val="9"/>
            <color indexed="81"/>
            <rFont val="Tahoma"/>
            <family val="2"/>
          </rPr>
          <t>$216462493 y 9438355</t>
        </r>
      </text>
    </comment>
  </commentList>
</comments>
</file>

<file path=xl/comments14.xml><?xml version="1.0" encoding="utf-8"?>
<comments xmlns="http://schemas.openxmlformats.org/spreadsheetml/2006/main">
  <authors>
    <author>Celmira Perez Fernandez</author>
  </authors>
  <commentList>
    <comment ref="U12" authorId="0" shapeId="0">
      <text>
        <r>
          <rPr>
            <b/>
            <sz val="9"/>
            <color indexed="81"/>
            <rFont val="Tahoma"/>
            <family val="2"/>
          </rPr>
          <t xml:space="preserve">Abr.21 Tras de la Act. 4 de Sría Gral </t>
        </r>
        <r>
          <rPr>
            <b/>
            <u/>
            <sz val="9"/>
            <color indexed="81"/>
            <rFont val="Tahoma"/>
            <family val="2"/>
          </rPr>
          <t>$216462493 y 9438355</t>
        </r>
      </text>
    </comment>
  </commentList>
</comments>
</file>

<file path=xl/comments15.xml><?xml version="1.0" encoding="utf-8"?>
<comments xmlns="http://schemas.openxmlformats.org/spreadsheetml/2006/main">
  <authors>
    <author>Celmira Perez Fernandez</author>
  </authors>
  <commentList>
    <comment ref="R8" authorId="0" shapeId="0">
      <text>
        <r>
          <rPr>
            <b/>
            <sz val="9"/>
            <color indexed="81"/>
            <rFont val="Tahoma"/>
            <family val="2"/>
          </rPr>
          <t>Mar.2 tras de la act.2 de Redes $370000000 Rad.20167000001923 Jun.27 se tras a la act. 2 de Sría Gral $300000000</t>
        </r>
      </text>
    </comment>
    <comment ref="R10" authorId="0" shapeId="0">
      <text>
        <r>
          <rPr>
            <b/>
            <sz val="9"/>
            <color indexed="81"/>
            <rFont val="Tahoma"/>
            <family val="2"/>
          </rPr>
          <t>Jun.27 se tras de la act. 1 de Sría Gral $300000000</t>
        </r>
      </text>
    </comment>
    <comment ref="U20" authorId="0" shapeId="0">
      <text>
        <r>
          <rPr>
            <b/>
            <sz val="9"/>
            <color indexed="81"/>
            <rFont val="Tahoma"/>
            <family val="2"/>
          </rPr>
          <t>Tras a la act. 3 de Ecosistemas $85489529
Feb.18 tras a la act. 7 de Hidrología $53050000, a la act. 7 de Meteorología $8000000 y a a act. 3 de Ecososistemas $9184900 y 19184000
Abr.4 tras de la act. 3 de Informática $2266887,65
Abr. 21 traslado de Dirección General $1208079111
Abr.21 tras a Pronosticos act. 4 $216462493, Tras a Pronosticos Act. 4 $9438355, Tras a Planeación Act. 1 61000000  y Tras a Hidrología $27000000
Feb.tras de Dirección General $85489529
Mayo.13 Ajuste de acuerdo al plan de contratación. -$
750005000</t>
        </r>
      </text>
    </comment>
  </commentList>
</comments>
</file>

<file path=xl/comments16.xml><?xml version="1.0" encoding="utf-8"?>
<comments xmlns="http://schemas.openxmlformats.org/spreadsheetml/2006/main">
  <authors>
    <author>Celmira Perez Fernandez</author>
    <author>Jaime Hernando Arias Patino</author>
  </authors>
  <commentList>
    <comment ref="R8" authorId="0" shapeId="0">
      <text>
        <r>
          <rPr>
            <b/>
            <sz val="9"/>
            <color indexed="81"/>
            <rFont val="Tahoma"/>
            <family val="2"/>
          </rPr>
          <t>Mar.2 tras de la act.2 de Redes $370000000 Rad.20167000001923 Jun.27 se tras a la act. 2 de Sría Gral $300000000</t>
        </r>
      </text>
    </comment>
    <comment ref="Y8" authorId="1" shapeId="0">
      <text>
        <r>
          <rPr>
            <b/>
            <sz val="9"/>
            <color indexed="81"/>
            <rFont val="Tahoma"/>
            <family val="2"/>
          </rPr>
          <t>Jaime Hernando Arias Patino:</t>
        </r>
        <r>
          <rPr>
            <sz val="9"/>
            <color indexed="81"/>
            <rFont val="Tahoma"/>
            <family val="2"/>
          </rPr>
          <t xml:space="preserve">
</t>
        </r>
      </text>
    </comment>
    <comment ref="R10" authorId="0" shapeId="0">
      <text>
        <r>
          <rPr>
            <b/>
            <sz val="9"/>
            <color indexed="81"/>
            <rFont val="Tahoma"/>
            <family val="2"/>
          </rPr>
          <t>Jun.27 se tras de la act. 1 de Sría Gral $300000000</t>
        </r>
      </text>
    </comment>
    <comment ref="Y10" authorId="1" shapeId="0">
      <text/>
    </comment>
    <comment ref="U20" authorId="0" shapeId="0">
      <text>
        <r>
          <rPr>
            <b/>
            <sz val="9"/>
            <color indexed="81"/>
            <rFont val="Tahoma"/>
            <family val="2"/>
          </rPr>
          <t>Tras a la act. 3 de Ecosistemas $85489529
Feb.18 tras a la act. 7 de Hidrología $53050000, a la act. 7 de Meteorología $8000000 y a a act. 3 de Ecososistemas $9184900 y 19184000
Abr.4 tras de la act. 3 de Informática $2266887,65
Abr. 21 traslado de Dirección General $1208079111
Abr.21 tras a Pronosticos act. 4 $216462493, Tras a Pronosticos Act. 4 $9438355, Tras a Planeación Act. 1 61000000  y Tras a Hidrología $27000000
Feb.tras de Dirección General $85489529
Mayo.13 Ajuste de acuerdo al plan de contratación. -$
750005000</t>
        </r>
      </text>
    </comment>
  </commentList>
</comments>
</file>

<file path=xl/comments17.xml><?xml version="1.0" encoding="utf-8"?>
<comments xmlns="http://schemas.openxmlformats.org/spreadsheetml/2006/main">
  <authors>
    <author>Celmira Perez Fernandez</author>
  </authors>
  <commentList>
    <comment ref="U11" authorId="0" shapeId="0">
      <text>
        <r>
          <rPr>
            <sz val="9"/>
            <color indexed="81"/>
            <rFont val="Tahoma"/>
            <family val="2"/>
          </rPr>
          <t>Abr.21 tras de la act. 4 de Sría Gral $61000000</t>
        </r>
      </text>
    </comment>
  </commentList>
</comments>
</file>

<file path=xl/comments18.xml><?xml version="1.0" encoding="utf-8"?>
<comments xmlns="http://schemas.openxmlformats.org/spreadsheetml/2006/main">
  <authors>
    <author>Celmira Perez Fernandez</author>
  </authors>
  <commentList>
    <comment ref="U11" authorId="0" shapeId="0">
      <text>
        <r>
          <rPr>
            <sz val="9"/>
            <color indexed="81"/>
            <rFont val="Tahoma"/>
            <family val="2"/>
          </rPr>
          <t>Abr.21 tras de la act. 4 de Sría Gral $61000000</t>
        </r>
      </text>
    </comment>
  </commentList>
</comments>
</file>

<file path=xl/comments2.xml><?xml version="1.0" encoding="utf-8"?>
<comments xmlns="http://schemas.openxmlformats.org/spreadsheetml/2006/main">
  <authors>
    <author>Celmira Perez Fernandez</author>
  </authors>
  <commentList>
    <comment ref="U19" authorId="0" shapeId="0">
      <text>
        <r>
          <rPr>
            <b/>
            <sz val="9"/>
            <color indexed="81"/>
            <rFont val="Tahoma"/>
            <family val="2"/>
          </rPr>
          <t>Ene.26 tras a la act. 7 de Meteorología Rad.20164000000163 $4000000</t>
        </r>
      </text>
    </comment>
    <comment ref="U32" authorId="0" shapeId="0">
      <text>
        <r>
          <rPr>
            <b/>
            <sz val="9"/>
            <color indexed="81"/>
            <rFont val="Tahoma"/>
            <family val="2"/>
          </rPr>
          <t xml:space="preserve">Nov.26 tras de la act. 4, de Meteorología Rad.20164000000163 $4000000
Feb. 18 tras de Sría Gral $8000000
</t>
        </r>
      </text>
    </comment>
  </commentList>
</comments>
</file>

<file path=xl/comments3.xml><?xml version="1.0" encoding="utf-8"?>
<comments xmlns="http://schemas.openxmlformats.org/spreadsheetml/2006/main">
  <authors>
    <author>Celmira Perez Fernandez</author>
  </authors>
  <commentList>
    <comment ref="R14" authorId="0" shapeId="0">
      <text>
        <r>
          <rPr>
            <b/>
            <sz val="9"/>
            <color indexed="81"/>
            <rFont val="Tahoma"/>
            <family val="2"/>
          </rPr>
          <t xml:space="preserve">Feb.29 tras de la act. 10 de Hidrología $42000000
</t>
        </r>
      </text>
    </comment>
    <comment ref="R16" authorId="0" shapeId="0">
      <text>
        <r>
          <rPr>
            <b/>
            <sz val="9"/>
            <color indexed="81"/>
            <rFont val="Tahoma"/>
            <family val="2"/>
          </rPr>
          <t xml:space="preserve">Jun.28 tras de la act. 10 de Hidrología $66,200,000
</t>
        </r>
      </text>
    </comment>
    <comment ref="U17" authorId="0" shapeId="0">
      <text>
        <r>
          <rPr>
            <b/>
            <sz val="9"/>
            <color indexed="81"/>
            <rFont val="Tahoma"/>
            <family val="2"/>
          </rPr>
          <t xml:space="preserve">Feb.10 tras a la act. 7 de Hidrogología $9750000
</t>
        </r>
      </text>
    </comment>
    <comment ref="U19" authorId="0" shapeId="0">
      <text>
        <r>
          <rPr>
            <b/>
            <sz val="9"/>
            <color indexed="81"/>
            <rFont val="Tahoma"/>
            <family val="2"/>
          </rPr>
          <t xml:space="preserve">Feb.10 tras de la act. 5 de Hidrología $9750000
Feb.18 tras de Sría Gral $53050000
Abr. 21 tras de la act. 4 de Sría Gral $2700000
</t>
        </r>
      </text>
    </comment>
    <comment ref="R22" authorId="0" shapeId="0">
      <text>
        <r>
          <rPr>
            <sz val="9"/>
            <color indexed="81"/>
            <rFont val="Tahoma"/>
            <family val="2"/>
          </rPr>
          <t xml:space="preserve">Ene.20 tras de la act. 8 a la 9 de Hidrología $6720000
</t>
        </r>
      </text>
    </comment>
    <comment ref="R26" authorId="0" shapeId="0">
      <text>
        <r>
          <rPr>
            <b/>
            <sz val="9"/>
            <color indexed="81"/>
            <rFont val="Tahoma"/>
            <family val="2"/>
          </rPr>
          <t>Ene.20 Tras de la act. 9 de Hidrologia $6720000</t>
        </r>
      </text>
    </comment>
    <comment ref="R31" authorId="0" shapeId="0">
      <text>
        <r>
          <rPr>
            <b/>
            <sz val="9"/>
            <color indexed="81"/>
            <rFont val="Tahoma"/>
            <family val="2"/>
          </rPr>
          <t xml:space="preserve">Feb.29 tras a la act. 3 de Hidrología $42000000
Jun.28 tras a la act. 4 de Hidrología $66200000
</t>
        </r>
      </text>
    </comment>
  </commentList>
</comments>
</file>

<file path=xl/comments4.xml><?xml version="1.0" encoding="utf-8"?>
<comments xmlns="http://schemas.openxmlformats.org/spreadsheetml/2006/main">
  <authors>
    <author>Celmira Perez Fernandez</author>
  </authors>
  <commentList>
    <comment ref="R15" authorId="0" shapeId="0">
      <text>
        <r>
          <rPr>
            <b/>
            <sz val="9"/>
            <color indexed="81"/>
            <rFont val="Tahoma"/>
            <family val="2"/>
          </rPr>
          <t xml:space="preserve">Feb.29 tras de la act. 10 de Hidrología $42000000
</t>
        </r>
      </text>
    </comment>
    <comment ref="R17" authorId="0" shapeId="0">
      <text>
        <r>
          <rPr>
            <b/>
            <sz val="9"/>
            <color indexed="81"/>
            <rFont val="Tahoma"/>
            <family val="2"/>
          </rPr>
          <t xml:space="preserve">Jun.28 tras de la act. 10 de Hidrología $66,200,000
</t>
        </r>
      </text>
    </comment>
    <comment ref="U18" authorId="0" shapeId="0">
      <text>
        <r>
          <rPr>
            <b/>
            <sz val="9"/>
            <color indexed="81"/>
            <rFont val="Tahoma"/>
            <family val="2"/>
          </rPr>
          <t xml:space="preserve">Feb.10 tras a la act. 7 de Hidrogología $9750000
</t>
        </r>
      </text>
    </comment>
    <comment ref="U20" authorId="0" shapeId="0">
      <text>
        <r>
          <rPr>
            <b/>
            <sz val="9"/>
            <color indexed="81"/>
            <rFont val="Tahoma"/>
            <family val="2"/>
          </rPr>
          <t xml:space="preserve">Feb.10 tras de la act. 5 de Hidrología $9750000
Feb.18 tras de Sría Gral $53050000
Abr. 21 tras de la act. 4 de Sría Gral $2700000
</t>
        </r>
      </text>
    </comment>
    <comment ref="R23" authorId="0" shapeId="0">
      <text>
        <r>
          <rPr>
            <sz val="9"/>
            <color indexed="81"/>
            <rFont val="Tahoma"/>
            <family val="2"/>
          </rPr>
          <t xml:space="preserve">Ene.20 tras de la act. 8 a la 9 de Hidrología $6720000
</t>
        </r>
      </text>
    </comment>
    <comment ref="R27" authorId="0" shapeId="0">
      <text>
        <r>
          <rPr>
            <b/>
            <sz val="9"/>
            <color indexed="81"/>
            <rFont val="Tahoma"/>
            <family val="2"/>
          </rPr>
          <t>Ene.20 Tras de la act. 9 de Hidrologia $6720000</t>
        </r>
      </text>
    </comment>
    <comment ref="R32" authorId="0" shapeId="0">
      <text>
        <r>
          <rPr>
            <b/>
            <sz val="9"/>
            <color indexed="81"/>
            <rFont val="Tahoma"/>
            <family val="2"/>
          </rPr>
          <t xml:space="preserve">Feb.29 tras a la act. 3 de Hidrología $42000000
Jun.28 tras a la act. 4 de Hidrología $66200000
</t>
        </r>
      </text>
    </comment>
  </commentList>
</comments>
</file>

<file path=xl/comments5.xml><?xml version="1.0" encoding="utf-8"?>
<comments xmlns="http://schemas.openxmlformats.org/spreadsheetml/2006/main">
  <authors>
    <author>jpolo</author>
    <author>Celmira Perez Fernandez</author>
  </authors>
  <commentList>
    <comment ref="AB10" authorId="0" shapeId="0">
      <text>
        <r>
          <rPr>
            <sz val="9"/>
            <color indexed="81"/>
            <rFont val="Tahoma"/>
            <family val="2"/>
          </rPr>
          <t>Recursos de cooperación internacional o donaciones.</t>
        </r>
      </text>
    </comment>
    <comment ref="AB14" authorId="0" shapeId="0">
      <text>
        <r>
          <rPr>
            <sz val="9"/>
            <color indexed="81"/>
            <rFont val="Tahoma"/>
            <family val="2"/>
          </rPr>
          <t>Recursos de cooperación internacional o donaciones.</t>
        </r>
      </text>
    </comment>
    <comment ref="Y18" authorId="1" shapeId="0">
      <text>
        <r>
          <rPr>
            <b/>
            <sz val="9"/>
            <color indexed="81"/>
            <rFont val="Tahoma"/>
            <family val="2"/>
          </rPr>
          <t>Jun.2 tras de la act. 9 de Estudios Ambientales
$10000000</t>
        </r>
      </text>
    </comment>
    <comment ref="AB30" authorId="0" shapeId="0">
      <text>
        <r>
          <rPr>
            <sz val="9"/>
            <color indexed="81"/>
            <rFont val="Tahoma"/>
            <family val="2"/>
          </rPr>
          <t>Recursos de cooperación internacional o donaciones.</t>
        </r>
      </text>
    </comment>
    <comment ref="AB35" authorId="0" shapeId="0">
      <text>
        <r>
          <rPr>
            <sz val="9"/>
            <color indexed="81"/>
            <rFont val="Tahoma"/>
            <family val="2"/>
          </rPr>
          <t>Recursos de cooperación internacional o donaciones.</t>
        </r>
      </text>
    </comment>
    <comment ref="Y36" authorId="1" shapeId="0">
      <text>
        <r>
          <rPr>
            <b/>
            <sz val="9"/>
            <color indexed="81"/>
            <rFont val="Tahoma"/>
            <family val="2"/>
          </rPr>
          <t>Jun.2 tras a la act. 4 de Estudios Ambientales $10000000</t>
        </r>
      </text>
    </comment>
    <comment ref="AB42" authorId="0" shapeId="0">
      <text>
        <r>
          <rPr>
            <sz val="9"/>
            <color indexed="81"/>
            <rFont val="Tahoma"/>
            <family val="2"/>
          </rPr>
          <t>Recursos de cooperación internacional o donaciones.</t>
        </r>
      </text>
    </comment>
  </commentList>
</comments>
</file>

<file path=xl/comments6.xml><?xml version="1.0" encoding="utf-8"?>
<comments xmlns="http://schemas.openxmlformats.org/spreadsheetml/2006/main">
  <authors>
    <author>jpolo</author>
    <author>Celmira Perez Fernandez</author>
  </authors>
  <commentList>
    <comment ref="AB10" authorId="0" shapeId="0">
      <text>
        <r>
          <rPr>
            <sz val="9"/>
            <color indexed="81"/>
            <rFont val="Tahoma"/>
            <family val="2"/>
          </rPr>
          <t>Recursos de cooperación internacional o donaciones.</t>
        </r>
      </text>
    </comment>
    <comment ref="AB14" authorId="0" shapeId="0">
      <text>
        <r>
          <rPr>
            <sz val="9"/>
            <color indexed="81"/>
            <rFont val="Tahoma"/>
            <family val="2"/>
          </rPr>
          <t>Recursos de cooperación internacional o donaciones.</t>
        </r>
      </text>
    </comment>
    <comment ref="Y18" authorId="1" shapeId="0">
      <text>
        <r>
          <rPr>
            <b/>
            <sz val="9"/>
            <color indexed="81"/>
            <rFont val="Tahoma"/>
            <family val="2"/>
          </rPr>
          <t>Jun.2 tras de la act. 9 de Estudios Ambientales
$10000000</t>
        </r>
      </text>
    </comment>
    <comment ref="AB30" authorId="0" shapeId="0">
      <text>
        <r>
          <rPr>
            <sz val="9"/>
            <color indexed="81"/>
            <rFont val="Tahoma"/>
            <family val="2"/>
          </rPr>
          <t>Recursos de cooperación internacional o donaciones.</t>
        </r>
      </text>
    </comment>
    <comment ref="AB35" authorId="0" shapeId="0">
      <text>
        <r>
          <rPr>
            <sz val="9"/>
            <color indexed="81"/>
            <rFont val="Tahoma"/>
            <family val="2"/>
          </rPr>
          <t>Recursos de cooperación internacional o donaciones.</t>
        </r>
      </text>
    </comment>
    <comment ref="Y36" authorId="1" shapeId="0">
      <text>
        <r>
          <rPr>
            <b/>
            <sz val="9"/>
            <color indexed="81"/>
            <rFont val="Tahoma"/>
            <family val="2"/>
          </rPr>
          <t>Jun.2 tras a la act. 4 de Estudios Ambientales $10000000</t>
        </r>
      </text>
    </comment>
    <comment ref="AB42" authorId="0" shapeId="0">
      <text>
        <r>
          <rPr>
            <sz val="9"/>
            <color indexed="81"/>
            <rFont val="Tahoma"/>
            <family val="2"/>
          </rPr>
          <t>Recursos de cooperación internacional o donaciones.</t>
        </r>
      </text>
    </comment>
  </commentList>
</comments>
</file>

<file path=xl/comments7.xml><?xml version="1.0" encoding="utf-8"?>
<comments xmlns="http://schemas.openxmlformats.org/spreadsheetml/2006/main">
  <authors>
    <author>Celmira Perez Fernandez</author>
    <author>Maria Saralux Valbuena Lopez</author>
    <author>Reinaldo Sánchez López</author>
    <author>Natalia Esperanza Cordoba Camacho</author>
  </authors>
  <commentList>
    <comment ref="F12" authorId="0" shapeId="0">
      <text>
        <r>
          <rPr>
            <b/>
            <sz val="9"/>
            <color indexed="81"/>
            <rFont val="Tahoma"/>
            <family val="2"/>
          </rPr>
          <t>Feb.18 se ajusta meta por solicitud de la Sub. Ecosistemas Rad.20165000000573</t>
        </r>
      </text>
    </comment>
    <comment ref="E18" authorId="1" shapeId="0">
      <text>
        <r>
          <rPr>
            <b/>
            <sz val="9"/>
            <color indexed="81"/>
            <rFont val="Tahoma"/>
            <family val="2"/>
          </rPr>
          <t>Maria Saralux Valbuena Lopez:</t>
        </r>
        <r>
          <rPr>
            <sz val="9"/>
            <color indexed="81"/>
            <rFont val="Tahoma"/>
            <family val="2"/>
          </rPr>
          <t xml:space="preserve">
Susceptibilidad a la salinización</t>
        </r>
      </text>
    </comment>
    <comment ref="F18" authorId="1" shapeId="0">
      <text>
        <r>
          <rPr>
            <b/>
            <sz val="9"/>
            <color indexed="81"/>
            <rFont val="Tahoma"/>
            <family val="2"/>
          </rPr>
          <t>Maria Saralux Valbuena Lopez:</t>
        </r>
        <r>
          <rPr>
            <sz val="9"/>
            <color indexed="81"/>
            <rFont val="Tahoma"/>
            <family val="2"/>
          </rPr>
          <t xml:space="preserve">
Salinización y compactación</t>
        </r>
      </text>
    </comment>
    <comment ref="G18" authorId="1" shapeId="0">
      <text>
        <r>
          <rPr>
            <b/>
            <sz val="9"/>
            <color indexed="81"/>
            <rFont val="Tahoma"/>
            <family val="2"/>
          </rPr>
          <t>Maria Saralux Valbuena Lopez:</t>
        </r>
        <r>
          <rPr>
            <sz val="9"/>
            <color indexed="81"/>
            <rFont val="Tahoma"/>
            <family val="2"/>
          </rPr>
          <t xml:space="preserve">
Desertificación</t>
        </r>
      </text>
    </comment>
    <comment ref="H18" authorId="1" shapeId="0">
      <text>
        <r>
          <rPr>
            <b/>
            <sz val="9"/>
            <color indexed="81"/>
            <rFont val="Tahoma"/>
            <family val="2"/>
          </rPr>
          <t>Maria Saralux Valbuena Lopez:</t>
        </r>
        <r>
          <rPr>
            <sz val="9"/>
            <color indexed="81"/>
            <rFont val="Tahoma"/>
            <family val="2"/>
          </rPr>
          <t xml:space="preserve">
Línea base de degradación de suelos consolidada</t>
        </r>
      </text>
    </comment>
    <comment ref="O18" authorId="2" shapeId="0">
      <text>
        <r>
          <rPr>
            <b/>
            <sz val="9"/>
            <color indexed="81"/>
            <rFont val="Tahoma"/>
            <family val="2"/>
          </rPr>
          <t>Reinaldo Sánchez López:</t>
        </r>
        <r>
          <rPr>
            <sz val="9"/>
            <color indexed="81"/>
            <rFont val="Tahoma"/>
            <family val="2"/>
          </rPr>
          <t xml:space="preserve">
Teniendo en cuenta el ajuste en los recursos, se cambia la meta a tres: Mapa avance salinización, memoria técnica de avance salinización, memoria técnica información SGC
</t>
        </r>
      </text>
    </comment>
    <comment ref="R18" authorId="0" shapeId="0">
      <text>
        <r>
          <rPr>
            <b/>
            <sz val="9"/>
            <color indexed="81"/>
            <rFont val="Tahoma"/>
            <family val="2"/>
          </rPr>
          <t>Abr.27 Tras a la act. 3 de Ecosistemas $4184960</t>
        </r>
      </text>
    </comment>
    <comment ref="O22" authorId="1" shapeId="0">
      <text>
        <r>
          <rPr>
            <b/>
            <sz val="9"/>
            <color indexed="81"/>
            <rFont val="Tahoma"/>
            <family val="2"/>
          </rPr>
          <t>Maria Saralux Valbuena Lopez:</t>
        </r>
        <r>
          <rPr>
            <sz val="9"/>
            <color indexed="81"/>
            <rFont val="Tahoma"/>
            <family val="2"/>
          </rPr>
          <t xml:space="preserve">
2 de ecosistemas (mapa y memoria técnica).
2 de cubo (documento memoria explicativa de la validación técnica realizada y Desarrollo del  Cubo de datos de imágenes de Satélite en los temas de corrección  geométrica.</t>
        </r>
      </text>
    </comment>
    <comment ref="R22" authorId="0" shapeId="0">
      <text>
        <r>
          <rPr>
            <b/>
            <sz val="9"/>
            <color indexed="81"/>
            <rFont val="Tahoma"/>
            <family val="2"/>
          </rPr>
          <t>Abr.27 Tras de la act. 2 de Ecosistemas $4184960</t>
        </r>
      </text>
    </comment>
    <comment ref="U22" authorId="0" shapeId="0">
      <text>
        <r>
          <rPr>
            <b/>
            <sz val="9"/>
            <color indexed="81"/>
            <rFont val="Tahoma"/>
            <family val="2"/>
          </rPr>
          <t>Feb.18 tras de Sría Gral $9184900
Feb.18 tras de Sría Gral $19184000</t>
        </r>
      </text>
    </comment>
    <comment ref="N26" authorId="3" shapeId="0">
      <text>
        <r>
          <rPr>
            <b/>
            <sz val="9"/>
            <color indexed="81"/>
            <rFont val="Tahoma"/>
            <family val="2"/>
          </rPr>
          <t>Natalia Esperanza Cordoba Camacho:</t>
        </r>
        <r>
          <rPr>
            <sz val="9"/>
            <color indexed="81"/>
            <rFont val="Tahoma"/>
            <family val="2"/>
          </rPr>
          <t xml:space="preserve">
Productos contrato indicadores (Hojas metodológicas actualizadas a la batería propuesta) 
Aplicación de recomendaciones de gobierno en línea en el portal SIAC
Pliegos para la contratación de consultoria RETC.
Documentación de estandarización de intercambio de datos</t>
        </r>
      </text>
    </comment>
    <comment ref="N27" authorId="3" shapeId="0">
      <text>
        <r>
          <rPr>
            <b/>
            <sz val="9"/>
            <color indexed="81"/>
            <rFont val="Tahoma"/>
            <family val="2"/>
          </rPr>
          <t>Natalia Esperanza Cordoba Camacho:</t>
        </r>
        <r>
          <rPr>
            <sz val="9"/>
            <color indexed="81"/>
            <rFont val="Tahoma"/>
            <family val="2"/>
          </rPr>
          <t xml:space="preserve">
Buscador semántico 
Intercambio de datos SIB-SINCHI-INVEMAR
Gestor de cifras.</t>
        </r>
      </text>
    </comment>
  </commentList>
</comments>
</file>

<file path=xl/comments8.xml><?xml version="1.0" encoding="utf-8"?>
<comments xmlns="http://schemas.openxmlformats.org/spreadsheetml/2006/main">
  <authors>
    <author>Celmira Perez Fernandez</author>
    <author>Maria Saralux Valbuena Lopez</author>
    <author>Reinaldo Sánchez López</author>
    <author>Natalia Esperanza Cordoba Camacho</author>
  </authors>
  <commentList>
    <comment ref="F12" authorId="0" shapeId="0">
      <text>
        <r>
          <rPr>
            <b/>
            <sz val="9"/>
            <color indexed="81"/>
            <rFont val="Tahoma"/>
            <family val="2"/>
          </rPr>
          <t>Feb.18 se ajusta meta por solicitud de la Sub. Ecosistemas Rad.20165000000573</t>
        </r>
      </text>
    </comment>
    <comment ref="E18" authorId="1" shapeId="0">
      <text>
        <r>
          <rPr>
            <b/>
            <sz val="9"/>
            <color indexed="81"/>
            <rFont val="Tahoma"/>
            <family val="2"/>
          </rPr>
          <t>Maria Saralux Valbuena Lopez:</t>
        </r>
        <r>
          <rPr>
            <sz val="9"/>
            <color indexed="81"/>
            <rFont val="Tahoma"/>
            <family val="2"/>
          </rPr>
          <t xml:space="preserve">
Susceptibilidad a la salinización</t>
        </r>
      </text>
    </comment>
    <comment ref="F18" authorId="1" shapeId="0">
      <text>
        <r>
          <rPr>
            <b/>
            <sz val="9"/>
            <color indexed="81"/>
            <rFont val="Tahoma"/>
            <family val="2"/>
          </rPr>
          <t>Maria Saralux Valbuena Lopez:</t>
        </r>
        <r>
          <rPr>
            <sz val="9"/>
            <color indexed="81"/>
            <rFont val="Tahoma"/>
            <family val="2"/>
          </rPr>
          <t xml:space="preserve">
Salinización y compactación</t>
        </r>
      </text>
    </comment>
    <comment ref="G18" authorId="1" shapeId="0">
      <text>
        <r>
          <rPr>
            <b/>
            <sz val="9"/>
            <color indexed="81"/>
            <rFont val="Tahoma"/>
            <family val="2"/>
          </rPr>
          <t>Maria Saralux Valbuena Lopez:</t>
        </r>
        <r>
          <rPr>
            <sz val="9"/>
            <color indexed="81"/>
            <rFont val="Tahoma"/>
            <family val="2"/>
          </rPr>
          <t xml:space="preserve">
Desertificación</t>
        </r>
      </text>
    </comment>
    <comment ref="H18" authorId="1" shapeId="0">
      <text>
        <r>
          <rPr>
            <b/>
            <sz val="9"/>
            <color indexed="81"/>
            <rFont val="Tahoma"/>
            <family val="2"/>
          </rPr>
          <t>Maria Saralux Valbuena Lopez:</t>
        </r>
        <r>
          <rPr>
            <sz val="9"/>
            <color indexed="81"/>
            <rFont val="Tahoma"/>
            <family val="2"/>
          </rPr>
          <t xml:space="preserve">
Línea base de degradación de suelos consolidada</t>
        </r>
      </text>
    </comment>
    <comment ref="O18" authorId="2" shapeId="0">
      <text>
        <r>
          <rPr>
            <b/>
            <sz val="9"/>
            <color indexed="81"/>
            <rFont val="Tahoma"/>
            <family val="2"/>
          </rPr>
          <t>Reinaldo Sánchez López:</t>
        </r>
        <r>
          <rPr>
            <sz val="9"/>
            <color indexed="81"/>
            <rFont val="Tahoma"/>
            <family val="2"/>
          </rPr>
          <t xml:space="preserve">
Teniendo en cuenta el ajuste en los recursos, se cambia la meta a tres: Mapa avance salinización, memoria técnica de avance salinización, memoria técnica información SGC
</t>
        </r>
      </text>
    </comment>
    <comment ref="R18" authorId="0" shapeId="0">
      <text>
        <r>
          <rPr>
            <b/>
            <sz val="9"/>
            <color indexed="81"/>
            <rFont val="Tahoma"/>
            <family val="2"/>
          </rPr>
          <t>Abr.27 Tras a la act. 3 de Ecosistemas $4184960</t>
        </r>
      </text>
    </comment>
    <comment ref="O22" authorId="1" shapeId="0">
      <text>
        <r>
          <rPr>
            <b/>
            <sz val="9"/>
            <color indexed="81"/>
            <rFont val="Tahoma"/>
            <family val="2"/>
          </rPr>
          <t>Maria Saralux Valbuena Lopez:</t>
        </r>
        <r>
          <rPr>
            <sz val="9"/>
            <color indexed="81"/>
            <rFont val="Tahoma"/>
            <family val="2"/>
          </rPr>
          <t xml:space="preserve">
2 de ecosistemas (mapa y memoria técnica).
2 de cubo (documento memoria explicativa de la validación técnica realizada y Desarrollo del  Cubo de datos de imágenes de Satélite en los temas de corrección  geométrica.</t>
        </r>
      </text>
    </comment>
    <comment ref="R22" authorId="0" shapeId="0">
      <text>
        <r>
          <rPr>
            <b/>
            <sz val="9"/>
            <color indexed="81"/>
            <rFont val="Tahoma"/>
            <family val="2"/>
          </rPr>
          <t>Abr.27 Tras de la act. 2 de Ecosistemas $4184960</t>
        </r>
      </text>
    </comment>
    <comment ref="U22" authorId="0" shapeId="0">
      <text>
        <r>
          <rPr>
            <b/>
            <sz val="9"/>
            <color indexed="81"/>
            <rFont val="Tahoma"/>
            <family val="2"/>
          </rPr>
          <t>Feb.18 tras de Sría Gral $9184900
Feb.18 tras de Sría Gral $19184000</t>
        </r>
      </text>
    </comment>
    <comment ref="N26" authorId="3" shapeId="0">
      <text>
        <r>
          <rPr>
            <b/>
            <sz val="9"/>
            <color indexed="81"/>
            <rFont val="Tahoma"/>
            <family val="2"/>
          </rPr>
          <t>Natalia Esperanza Cordoba Camacho:</t>
        </r>
        <r>
          <rPr>
            <sz val="9"/>
            <color indexed="81"/>
            <rFont val="Tahoma"/>
            <family val="2"/>
          </rPr>
          <t xml:space="preserve">
Productos contrato indicadores (Hojas metodológicas actualizadas a la batería propuesta) 
Aplicación de recomendaciones de gobierno en línea en el portal SIAC
Pliegos para la contratación de consultoria RETC.
Documentación de estandarización de intercambio de datos</t>
        </r>
      </text>
    </comment>
    <comment ref="N27" authorId="3" shapeId="0">
      <text>
        <r>
          <rPr>
            <b/>
            <sz val="9"/>
            <color indexed="81"/>
            <rFont val="Tahoma"/>
            <family val="2"/>
          </rPr>
          <t>Natalia Esperanza Cordoba Camacho:</t>
        </r>
        <r>
          <rPr>
            <sz val="9"/>
            <color indexed="81"/>
            <rFont val="Tahoma"/>
            <family val="2"/>
          </rPr>
          <t xml:space="preserve">
Buscador semántico 
Intercambio de datos SIB-SINCHI-INVEMAR
Gestor de cifras.</t>
        </r>
      </text>
    </comment>
  </commentList>
</comments>
</file>

<file path=xl/comments9.xml><?xml version="1.0" encoding="utf-8"?>
<comments xmlns="http://schemas.openxmlformats.org/spreadsheetml/2006/main">
  <authors>
    <author>Celmira Perez Fernandez</author>
  </authors>
  <commentList>
    <comment ref="R11" authorId="0" shapeId="0">
      <text>
        <r>
          <rPr>
            <b/>
            <sz val="9"/>
            <color indexed="81"/>
            <rFont val="Tahoma"/>
            <family val="2"/>
          </rPr>
          <t>Mar.2 tras a la act. 1 Sría Gral $370000000
rad.20167000001923</t>
        </r>
      </text>
    </comment>
  </commentList>
</comments>
</file>

<file path=xl/sharedStrings.xml><?xml version="1.0" encoding="utf-8"?>
<sst xmlns="http://schemas.openxmlformats.org/spreadsheetml/2006/main" count="2494" uniqueCount="747">
  <si>
    <t>INSTITUTO DE HIDROLOGÍA, METEOROLOGÍA Y ESTUDIOS AMBIENTALES</t>
  </si>
  <si>
    <t>INSTITUTO DE HIDROLOGÍA, METEOROLOGÍA Y ESTUDIOS AMBIENTALES (IDEAM)</t>
  </si>
  <si>
    <t>OFICINA ASESORA DE PLANEACIÓN</t>
  </si>
  <si>
    <t>PLAN INDICATIVO CUATRIENAL</t>
  </si>
  <si>
    <t>R   E   C   U   R   S   O   S</t>
  </si>
  <si>
    <t>No</t>
  </si>
  <si>
    <t>CAPITULO PLAN NACIONAL DE DESARROLLO</t>
  </si>
  <si>
    <t>SUBCAPITULO PLAN NACIONAL DE DESARROLLO</t>
  </si>
  <si>
    <t>PROGRAMA PLAN NACIONAL DE DESARROLLO</t>
  </si>
  <si>
    <t>LINEAMIENTO ESTRATÉGICO PLAN NACIONAL DE DESARROLLO</t>
  </si>
  <si>
    <t>ACTIVIDADES CUATRIENIO NACIONALES</t>
  </si>
  <si>
    <t>No ACTIVIDAD CUATRIENIO</t>
  </si>
  <si>
    <t>PRODUCTO ESPERADO</t>
  </si>
  <si>
    <t>INDICADOR INSTITUCIONAL</t>
  </si>
  <si>
    <t>No. ACT.</t>
  </si>
  <si>
    <t>INDICADOR ACTIVIDAD</t>
  </si>
  <si>
    <t>META ACTIVIDAD</t>
  </si>
  <si>
    <t>INVERSIÓN</t>
  </si>
  <si>
    <t>APORTES DE LA NACIÓN</t>
  </si>
  <si>
    <t>RECURSOS PROPIOS</t>
  </si>
  <si>
    <t>BANCO MUNDIAL - IDS</t>
  </si>
  <si>
    <t>OTROS</t>
  </si>
  <si>
    <t>Subdirección de Estudios Ambientales</t>
  </si>
  <si>
    <t>Objetivo 2 PND 2015-2018: Proteger y asegurar el uso sostenible del capital natural y mejorar la calidad ambiental.</t>
  </si>
  <si>
    <t>META 2015</t>
  </si>
  <si>
    <t>META 2016</t>
  </si>
  <si>
    <t>META 2017</t>
  </si>
  <si>
    <t>META 2018</t>
  </si>
  <si>
    <t>META CUATRIENIO</t>
  </si>
  <si>
    <t>DEPENDENCIA RESPONSABLE</t>
  </si>
  <si>
    <t>Disponer de los instrumentos necesarios para garantizar el suministro de datos e información ambiental por parte de las organizaciones e instituciones públicas y privadas.</t>
  </si>
  <si>
    <t>ACTIVIDAD POA 2015</t>
  </si>
  <si>
    <t>POA 2015 - PROYECTO DE INVERSIÓN</t>
  </si>
  <si>
    <t>Implementar el Programa de Control de la Contaminación y Uso eficiente del Recurso Hídrico en el cual las entidades del SINA apoyarán a los sectores productivos  en la formulación de planes para la reducción de la contaminación, con énfasis en reconversión a tecnologías más limpias en vertimientos.</t>
  </si>
  <si>
    <t>Estrategia 1: Conservar y asegurar el uso sostenible del capital natural marino y continental de la Nación.</t>
  </si>
  <si>
    <t>Acción: Reducción de la deforestación.</t>
  </si>
  <si>
    <t xml:space="preserve">Acción: Uso de instrumentos económicos y la valoración de la biodiversidad. </t>
  </si>
  <si>
    <t>Acción: Reducción de consumo y post-consumo.</t>
  </si>
  <si>
    <t>Acción: Manejo integrado de la contaminación, con énfasis en reconversión a tecnologías más limpias.</t>
  </si>
  <si>
    <t>Acción: Política Nacional de Cambio Climático.</t>
  </si>
  <si>
    <t>FUNCIONAMIENTO</t>
  </si>
  <si>
    <t>Actualización bianual del INGEI.</t>
  </si>
  <si>
    <t>Informe publicado.</t>
  </si>
  <si>
    <t>Suministrar información para la consolidación de las cuentas nacionales (SIA).</t>
  </si>
  <si>
    <t>Inventario actualizado a 2012.</t>
  </si>
  <si>
    <t>Tercera Comunicación Nacional de Cambio Climático.</t>
  </si>
  <si>
    <t>Estrategia 4: Consolidar un marco de política de cambio climático buscando su integración con la planificación ambiental, territorial y sectorial.</t>
  </si>
  <si>
    <t>OBJETIVOS INSTITUCIONALES</t>
  </si>
  <si>
    <t>PRODUCTOS PROYECTO: FORTALECIMIENTO DE LA GESTIÓN DEL CONOCIMIENTO HIDROLÓGICO, METEOROLÓGICO, CLIMÁTICO Y AMBIENTAL</t>
  </si>
  <si>
    <t>SUBDIRECCIÓN DE ESTUDIOS AMBIENTALES</t>
  </si>
  <si>
    <t>Publicaciones periódicas: Informe del estado del ambiente y de los recursos naturales, calidad del aire, RESPEL.</t>
  </si>
  <si>
    <t>ACTIVIDAD CUATRIENIO</t>
  </si>
  <si>
    <t>INDICADOR</t>
  </si>
  <si>
    <t>TOTAL</t>
  </si>
  <si>
    <t xml:space="preserve">Formular la Política  de Cambio Climático e instrumentos sectoriales y regionales de implementación </t>
  </si>
  <si>
    <t>Lineamientos - Protocolos - Orientaciones Sectoriales y Regionales para la formulación de  planes de adaptación y mitigación de impactos potenciales por cambio climático y variabilidad climática y su inclusión dentro de los instrumentos de planificación.</t>
  </si>
  <si>
    <t>Documentos con Lineamientos, Protocolos y orientaciones para la adaptación y mitigación del cambio climático y variabilidad climática en los ámbitos sectorial y regional.</t>
  </si>
  <si>
    <t>Laboratorios acreditados</t>
  </si>
  <si>
    <t>Gestión de la contaminación del aire (registro de emisiones; sistemas de vigilancia y monitoreo; actualizar y desarrollar normas, protocolos e incentivos para la reducción de las emisiones atmosféricas y sus efectos; herramientas de conocimiento del riesgo por contaminación)</t>
  </si>
  <si>
    <t xml:space="preserve">Boletines </t>
  </si>
  <si>
    <t>ESTRATEGIA 2. Ordenamiento integral del territorio para el desarrollo sostenible</t>
  </si>
  <si>
    <t>ACTIVIDADES PLAN NACIONAL DE DESARROLLO RELACIONADAS CON IDEAM</t>
  </si>
  <si>
    <t>INDICADOR INSTITUCIONAL PARA EL CUATRIENIO</t>
  </si>
  <si>
    <t>DEPENDENCIA RESPONSABLE IDEAM</t>
  </si>
  <si>
    <t xml:space="preserve">OBJETIVO 2 PND 2015-2018: Proteger y asegurar el uso sostenible del capital natural y mejorar la calidad y la gobernanza ambiental.
</t>
  </si>
  <si>
    <t>ESTRATEGIA 3. Mejorar la calidad ambiental a partir del fortalecimiento del desempeño ambiental de los sectores productivos, buscando mejorar su competitividad</t>
  </si>
  <si>
    <t xml:space="preserve">Acción: </t>
  </si>
  <si>
    <t>OBJETIVO 2 PND 2015-2018: Proteger y asegurar el uso sostenible del capital natural y mejorar la calidad y la gobernanza ambiental.</t>
  </si>
  <si>
    <t xml:space="preserve">Boletines producidos con estándares y calidad de datos.
</t>
  </si>
  <si>
    <t xml:space="preserve">Laboratorios acreditados y/o Autorizados
</t>
  </si>
  <si>
    <t xml:space="preserve">Documentos entregables producidos
</t>
  </si>
  <si>
    <t>Documentos  de investigación publicados.</t>
  </si>
  <si>
    <t>POA 2016 - PROYECTO DE INVERSIÓN</t>
  </si>
  <si>
    <t>Documentos técnicos para sustentar decisiones sobre ordenamiento del territorio, atendiendo la relación entre degradación de ecosistemas.</t>
  </si>
  <si>
    <t xml:space="preserve">Documentos técnicos para sustentar decisiones sobre uso, aprovechamiento y gestión del medio ambiente y de los recursos naturales renovables. </t>
  </si>
  <si>
    <t>Laboratorios ambientales acreditados y organizaciones autorizadas para realizar medición de emisiones por fuentes móviles.</t>
  </si>
  <si>
    <t>Documentos técnicos para sustentar decisiones sobre ordenamiento y planificación territorial, para mitigar y lograr adaptación ante el cc.</t>
  </si>
  <si>
    <t>Gestion del conocimiento en calidad del aire</t>
  </si>
  <si>
    <t xml:space="preserve">Subsistema de Información de Calidad del Aire, SISAIRE. </t>
  </si>
  <si>
    <t>ACTIVIDAD POA 2016</t>
  </si>
  <si>
    <t>Registros para la recolección de información relacionada con el uso y aprovechamiento de los recursos naturales renovables</t>
  </si>
  <si>
    <t>Formulación e implementación de instrumentos de ordenamiento integral del territorio.</t>
  </si>
  <si>
    <t>* Documento de Análisis y oientaciones para  zonificación por regiones y conflictos ambientales
* Mapas de conflicto de uso de los recursos naturales por región</t>
  </si>
  <si>
    <t>VI. Sostenibilidad ambiental y prevención del riesgo</t>
  </si>
  <si>
    <t>A. Gestión ambiental integrada y compartida</t>
  </si>
  <si>
    <t>Gestión Integral del Recurso Hídrico</t>
  </si>
  <si>
    <t>Mejorar el conocimiento de la oferta y la demanda</t>
  </si>
  <si>
    <t>Estrategia institucional y financiera de la red hidrometeorológica, aprobado por CONPES</t>
  </si>
  <si>
    <t>En materia de gestión integral de residuos peligrosos: (1) se fortalecerá el seguimiento y control por parte de las autoridades ambientales a los diferentes actores involucrados</t>
  </si>
  <si>
    <t>Registro de establecimientos en RUA, RESPEL, PCB, RETC.</t>
  </si>
  <si>
    <t xml:space="preserve">Registros anuales, activos con seguimiento y reportes.
</t>
  </si>
  <si>
    <t xml:space="preserve">Registros para la recolección de información relacionada con el uso y aprovechamiento de los recursos naturales renovables. </t>
  </si>
  <si>
    <t>Desarrollo de una propuesta de contenidos del Informe del Estado del medio ambiente que permita dar una mayor oportunidad en su entrega</t>
  </si>
  <si>
    <t>Propuesta de contenidos elaborada</t>
  </si>
  <si>
    <t>Actividades del Plan de Mejoramiento implementadas</t>
  </si>
  <si>
    <t>Elaboración del informe nacional del estado de avance en la identificación de las existencias de equipos y desechos PCB en el país y el estado de cumplimiento de los compromisos adquiridos en el convenio de Estocolmo sobre las metas de marcado, retiro de uso y eliminación de PCB</t>
  </si>
  <si>
    <t>Procesar y análizar los datos de Generadores de Residuos o Desechos Peligrosos correspondientes al 2014-2015 y apoyar la construcción del informe nacional de Generación y Manejo de Residuos o Desechos Peligrosos – RESPEL (2013-2014-2015)</t>
  </si>
  <si>
    <t>Procesar los datos de calidad del aire y meteorológicos producidos por los Sistemas de Vigilancia de Calidad del Aire operados por las Autoridades Ambientales correspondientes al 2015 y realizar informe con los análisis y cruces de información requeridos por la Subdirección de Estudios Ambientales</t>
  </si>
  <si>
    <t xml:space="preserve">Registrar establecimientos en RUA, RESPEL, PCB, RETC, atender solicitudes y fortalecer los registros en el marco del SIAC
</t>
  </si>
  <si>
    <t>Pruebas de laboratorio adelantadas</t>
  </si>
  <si>
    <t>Desarrollo de la segunda fase del plan de mejoramiento de las operaciones estadísticas,  Registro de Generación y Manejo de Residuos o Desechos Peligrosos – RESPEL y del Subsistema de Información sobre la calidad del Aire – SISAIRE; se consolidarán las versiones finales del conjunto de documentos de metodología general desarrollados en la primera fase, asi mismo el desarrollo de las acciones y productos señalados segun cronograma del plan de mejoramiento (4 actividades AIRE y 8 actividades RESPEL)</t>
  </si>
  <si>
    <t>Informes elaborados</t>
  </si>
  <si>
    <t>Documentos elaborados</t>
  </si>
  <si>
    <t>Registros anuales, activos con seguimiento y reportes.</t>
  </si>
  <si>
    <t xml:space="preserve">Generar informacón relevante para el conocimiento del cambio climático en colombia </t>
  </si>
  <si>
    <t>Documentoos generados</t>
  </si>
  <si>
    <t>Planes de adaptacion y mitigacion  para el cambio climàtico en las regiones</t>
  </si>
  <si>
    <t>Estrategia 3: Mejorar la calidad ambiental a partir del fortalecimiento del desempeño ambiental de los sectores productivos, buscando mejorar su competitividad.</t>
  </si>
  <si>
    <t>Acción: Gestión integral del recurso hídrico.</t>
  </si>
  <si>
    <t>Elaborar las Evaluaciones Regionales del Agua (ERA).</t>
  </si>
  <si>
    <t>Estudio Nacional del agua 2018.</t>
  </si>
  <si>
    <t>Documento elaborado y publicado.</t>
  </si>
  <si>
    <t>Subdirección de Hidrología</t>
  </si>
  <si>
    <t>Efectuar monitoreo y seguimiento a las condiciones hidrometeorológicas y ambientales del País.</t>
  </si>
  <si>
    <t>Elaboración de la  metodología de identificación y delimitación de zonas de recarga de sistemas acuíferos en el marco del Programa Nacional de Aguas Subterráneas</t>
  </si>
  <si>
    <t>Documento elaborado</t>
  </si>
  <si>
    <t xml:space="preserve">Escenarios hidrológicos relacionados con variables de: oferta, demanda, calidad, sedimentos y riesgo hidrológico. </t>
  </si>
  <si>
    <t>Caracterización de la dinamica de sedimentos en diez subzonas hidrográficas.</t>
  </si>
  <si>
    <t>Fortalecer los sistemas de información ambiental a cargo del IDEAM.</t>
  </si>
  <si>
    <t>Desarrollo de Modelo Hidrosedimentológico para una Subzona de la Orinoquia</t>
  </si>
  <si>
    <t>Implementar el Programa Nacional de Monitoreo del Recurso Hídrico.</t>
  </si>
  <si>
    <t>Información hidrológica actualizada en variables de nivel, caudal, sedimentos y calidad del agua y protocolo del agua.</t>
  </si>
  <si>
    <t>Estadísticas actualizadas año a año de variables hidrológicas de cantidad y calidad.</t>
  </si>
  <si>
    <t xml:space="preserve">Actualización y Control de calidad del dato hidrológico en el Banco de Datos (IDEAM - BOGOTA) </t>
  </si>
  <si>
    <t>Reporte elaborado</t>
  </si>
  <si>
    <t>Datos climáticos e hidrometeorológicos.</t>
  </si>
  <si>
    <t>Protocolo del agua publicado.</t>
  </si>
  <si>
    <t>Consolidar información de la red y el programa  nacional de aguas subterraneas.</t>
  </si>
  <si>
    <t>Reporte anual elaborado.</t>
  </si>
  <si>
    <t>Inventario de puntos de agua subterránea para la Orinoquia</t>
  </si>
  <si>
    <t>Consolidación de resultados de monitoreo y fortalecimiento de la Red Básica Nacional e Isotópica de Aguas Subterráneas.</t>
  </si>
  <si>
    <t>Acreditación del laboratorio de calidad ambiental.</t>
  </si>
  <si>
    <t>Documento con avances en  proceso de acreditación.</t>
  </si>
  <si>
    <t>Plan estrategico del Laboratorio de Calidad Ambiental</t>
  </si>
  <si>
    <t>Información generada a partir del seguimiento y monitoreo a la calidad del agua.</t>
  </si>
  <si>
    <t>Reporte consolidado de información validada de la red de monitoreo e indicadores de Calidad del Agua</t>
  </si>
  <si>
    <t>Monitoreo nacional de la calidad del agua.</t>
  </si>
  <si>
    <t>Documento con análisis fisicoquímicos y bioindicación de calidad del agua del IDEAM.</t>
  </si>
  <si>
    <t>Consolidar información de la red de monitoreo de calidad del agua.</t>
  </si>
  <si>
    <t>Reporte anual consolidado.</t>
  </si>
  <si>
    <t xml:space="preserve">Fortalecer y poner en marcha el Centro Nacional de Modelación Hidrometeorológica. </t>
  </si>
  <si>
    <t>Mapas de crecientes subitas en dos departamentos.</t>
  </si>
  <si>
    <t>Mapas  elaborados y divulgados.</t>
  </si>
  <si>
    <t>Integración de herramientas hidrológicas para pronósticos y alertas por inundación en el bajo Magdalena</t>
  </si>
  <si>
    <t xml:space="preserve">Mapas  elaborados </t>
  </si>
  <si>
    <t>Insumos técnicos para modelación hidrometeorológica.</t>
  </si>
  <si>
    <t>Documento con insumos técnicos desarrollados para modelación.</t>
  </si>
  <si>
    <t>Componente hidrológico del sistema de alertas tempranas del IDEAM fortalecido.</t>
  </si>
  <si>
    <t>Modelos integrados FEWS.</t>
  </si>
  <si>
    <t>Modelos Integrados FEWS</t>
  </si>
  <si>
    <t xml:space="preserve">Mapas de amenaza por inundación </t>
  </si>
  <si>
    <t>Implemnetación del plan estratégico del centro nacional de modelación.</t>
  </si>
  <si>
    <t>Reporte anual de actividades del centro nacional de modelación.</t>
  </si>
  <si>
    <t>Formulación  del plan estratégico del Centro Nacional de Modelación e Insumos técnicos para modelación hidrometeorológica.</t>
  </si>
  <si>
    <t>Estrategia 5: Fortalecimiento institucional y gobernanza, para optimizar el desempeño del SINA, la educación e investigación y la generación de información y conocimiento ambiental.</t>
  </si>
  <si>
    <t>Acción: Generación de información y conocimiento en materia ambiental.</t>
  </si>
  <si>
    <t>Consolidar el Sistema de Información Ambiental (SIAC) desarrollando un geo-portal, un sistema de consulta de bases de datos y el programa nacional de monitoreo ambiental direccionado por el MADS y coordinado por los institutos de investigación del SINA.</t>
  </si>
  <si>
    <t>Nodos regionales del SIRH implementados.</t>
  </si>
  <si>
    <t>Nodos regionales del SIRH operando.</t>
  </si>
  <si>
    <t>Ajuste de contenidos temáticos y fortalecimiento de nodos regionales y fortalecimiento de capacidades del SIRH</t>
  </si>
  <si>
    <t xml:space="preserve">Aplicativos para el almacenamiento, reporte y visualización de la información hidrológica de oferta, demanda, calidad y riesgos. </t>
  </si>
  <si>
    <t>Capacitaciones para el fortalecimiento de las capacidades regionales para la gestión de información asociada al agua.</t>
  </si>
  <si>
    <t>Capacitaciones realizadas y evaluadas.</t>
  </si>
  <si>
    <t>Numero de talleres y actividades de capacitación realizados</t>
  </si>
  <si>
    <t xml:space="preserve">Eventos sobre temáticas hidrológicas, meteorológicas, ambientales y climáticas y demás estrategias que fortalecen la transmisión de conocimiento. </t>
  </si>
  <si>
    <t>Formular una agenda de investigación ambiental integrada al Sistema de Ciencia, Tecnología e Innovación, bajo el liderazgo de los institutos de investigación.</t>
  </si>
  <si>
    <t>Plan de investigación del IDEAM formulado e implementado.</t>
  </si>
  <si>
    <t>Plan de investigación implementado.</t>
  </si>
  <si>
    <t>Robustecer la capacidad, administrativa y financiera del Instituto para el cumplimiento efectivo de los objetivos previstos en la norma.</t>
  </si>
  <si>
    <t>Instituto articulado con instancias interinstitucionales e internacionales en la temática de gestión de información.</t>
  </si>
  <si>
    <t>SUBDIRECCIÓN DE HIDROLOGÍA</t>
  </si>
  <si>
    <t>Objetivo 1: Avanzar hacia un crecimiento sostenible y bajo en carbono.</t>
  </si>
  <si>
    <t>Estrategia 1: Impulsar la transformación de sectores hacia sendas más eficientes y de bajo carbono.</t>
  </si>
  <si>
    <t>Acción: Producción agropecuaria en áreas de vocación, ganadería intensiva con sistemas silvopastoriles y uso eficiente del agua.</t>
  </si>
  <si>
    <t>Generar información climática para la planificación eficiente en el sector agropecuario.</t>
  </si>
  <si>
    <t>Servicios climáticos  a los diferentes sectores productivos (hidrocarburos, minería, vivienda, transporte, agropecuario) y  consolidar  información especializada por sector.</t>
  </si>
  <si>
    <t>Boletines producidos con estándares y calidad de datos.</t>
  </si>
  <si>
    <t>Subdirección de Meteorología</t>
  </si>
  <si>
    <t xml:space="preserve">Prestar servicios climáticos  a los diferentes sectores productivos (hidrocarburos, minería, vivienda, transporte, agropecuario) y  consolidar  información especializada por sector. </t>
  </si>
  <si>
    <t xml:space="preserve"> Boletines agrometeorológicos (12) y climáticos (12).</t>
  </si>
  <si>
    <t xml:space="preserve">Modelos de predicciones mensuales estacionales estadísticas con reducción de incertidumbre a nivel local. </t>
  </si>
  <si>
    <t>Efecto de la variabilidad climática en los  cambios de los regimenes de precipitación</t>
  </si>
  <si>
    <t xml:space="preserve">Documento de análisis producido.
</t>
  </si>
  <si>
    <t>Elaborar el  estudio de la alteración de la precipitación bajo diferentes indicadores de variabilidad climática propuestos por la NOAA</t>
  </si>
  <si>
    <t xml:space="preserve">Informe sobre Estructura de   los indicadores y las bases de datos en el contexto.
</t>
  </si>
  <si>
    <t>Acción: Gestión de la información y el conocimiento en cambio climático.</t>
  </si>
  <si>
    <t xml:space="preserve">RECURSOS INVERSIÓN </t>
  </si>
  <si>
    <t>Fortalecer  la modelación del tiempo para el análisis de sus implicaciones en las alertas hidrometeorológicas.</t>
  </si>
  <si>
    <t>Modelos de pronóstico del tiempo en alta resolución operando a 15 Km.</t>
  </si>
  <si>
    <t xml:space="preserve">Modelos alta resolución operando a 15 Km.
</t>
  </si>
  <si>
    <t>Generar modelos de pronóstico del tiempo en alta resolución operando a 15 Km.</t>
  </si>
  <si>
    <t xml:space="preserve">Modelos de pronóstico diario del estado del tiempo en alta resolución espacial. </t>
  </si>
  <si>
    <t>Aeropuertos con Reportes  entregados a OACI y OMM de meteorología a la aeronavegación  a nivel nacional e internacional.</t>
  </si>
  <si>
    <t>Aeropuertos con reportes entregados  con estándares y calidad de datos</t>
  </si>
  <si>
    <t>Prestar servicios de meteorología a la aeronavegación  a nivel nacional e internacional.</t>
  </si>
  <si>
    <t>Fortalecer la modelación del clima para el análisis de sus implicaciones a nivel sectorial.</t>
  </si>
  <si>
    <t>Modelos de predicción del clima en alta resolución operando a 10 Km.</t>
  </si>
  <si>
    <t xml:space="preserve">Modelos  en alta resolución operando a 10 Km..
</t>
  </si>
  <si>
    <t xml:space="preserve">Modelo en alta resolución operando a 10 Km.
</t>
  </si>
  <si>
    <t xml:space="preserve">Modelos de predicciones mensuales estacionales dinámicas en alta resolución espacial. </t>
  </si>
  <si>
    <t>Manual de usuario para clúster.</t>
  </si>
  <si>
    <t>Manual elaborado, probado y disponible.</t>
  </si>
  <si>
    <t>Objetivo 3 PND 2015-2018: Lograr un crecimiento resiliente y reducir la vulnerabilidad frente a los riesgos de desastres y al cambio climático.</t>
  </si>
  <si>
    <t>Estrategia 2: Fortalecer la planificación del desarrollo con criterios de adaptación al cambio climático.</t>
  </si>
  <si>
    <t>Acción: Gestión del conocimiento respecto al proceso de cambio climático y sus impactos.</t>
  </si>
  <si>
    <t xml:space="preserve">Construir escenarios de cambio climático nacional y regional.
</t>
  </si>
  <si>
    <t>Generar escenarios nacionales y regionales de cambio climático.</t>
  </si>
  <si>
    <t xml:space="preserve">Número de escenarios de cambio climático generados.
</t>
  </si>
  <si>
    <t xml:space="preserve">Nota Tecnica sobre evidencias de cambio climático
</t>
  </si>
  <si>
    <t>Evidencias de cambio climático</t>
  </si>
  <si>
    <t xml:space="preserve">Documento de investigación elaborado.
</t>
  </si>
  <si>
    <t>Análisis de eventos extremos</t>
  </si>
  <si>
    <t xml:space="preserve">Estructura de los datos para los algoritmos de eventos extremos.
</t>
  </si>
  <si>
    <t>Estudio sobre la sequia en Colombia</t>
  </si>
  <si>
    <t>Nota Tecnica  sobre la sequia en Colombia</t>
  </si>
  <si>
    <t>Grupo de Operación de Redes Ambientales</t>
  </si>
  <si>
    <t>Estaciones con control de calidad y con informacion de precipitacion las 24 horas</t>
  </si>
  <si>
    <t>Datos diarios de precipitación y temperaturas para el periodo 1974-2014</t>
  </si>
  <si>
    <t xml:space="preserve">Realizar los Estudios de Variabilidad climática en el contexto de cambio climático </t>
  </si>
  <si>
    <t>Escenarios de cambio climático</t>
  </si>
  <si>
    <t>Actualizar variables metereologicas del banco de datos.</t>
  </si>
  <si>
    <t xml:space="preserve">Estrategia 1: Fortalecer los procesos de la gestión del riesgo: conocimiento, reducción y manejo.  </t>
  </si>
  <si>
    <t>Fortalecer el sistema de monitoreo y de alertas tempranas.</t>
  </si>
  <si>
    <t>Datos hidrometeorológicos capturados, procesados y validados.</t>
  </si>
  <si>
    <t>Estaciones actualizadas tecnológicamente.</t>
  </si>
  <si>
    <t>Actualizar tecnológicamente la red de estaciones hidrometeorológicas del Instituto.</t>
  </si>
  <si>
    <t>Estaciones actualizadas.</t>
  </si>
  <si>
    <t xml:space="preserve">Estaciones hidrometeorológicas. </t>
  </si>
  <si>
    <t>Actualizar el banco de datos hidrometeorológicos.</t>
  </si>
  <si>
    <t>Meses de datos procesados</t>
  </si>
  <si>
    <t>Estaciones sinópticas automatizadas.</t>
  </si>
  <si>
    <t>Actualizar tecnológicamente  estaciones sinópticas en aeropuertos del País.</t>
  </si>
  <si>
    <t xml:space="preserve">Estaciones sinópticas actualizadas. </t>
  </si>
  <si>
    <t>Estaciones meteorológicas reubicadas.</t>
  </si>
  <si>
    <t xml:space="preserve">Reubicar estaciones meteorológicas. </t>
  </si>
  <si>
    <t>Laboratorio de calibración implementado.</t>
  </si>
  <si>
    <t>Implementar las acciones establecidas en el diagnóstico entregado en el 2014 por el Instituto Nacional de Metrología.</t>
  </si>
  <si>
    <t>Acciones implementadas</t>
  </si>
  <si>
    <t>Plan Estrategico Red Hidrologica, Meteorologica y Ambiental  del IDEAM</t>
  </si>
  <si>
    <t>Elaborar el Plan Estratégico de la Red Hidrológica, Meteorológica y Ambiental del IDEAM</t>
  </si>
  <si>
    <t>Documento elaborado.</t>
  </si>
  <si>
    <t>Productos temáticos generados.</t>
  </si>
  <si>
    <t>* Fortalecer la gobernanza forestal y la capacidad para administrar Zonas de Reserva Forestal en el país.
* Implementar la Estrategia Nacional de Reducción de Emisiones por Deforestación y Degradación (REDD).
* Consolidar el sistema de monitoreo de bosques y carbono.
* Avanzar en la implementación de la Visión Amazonía.</t>
  </si>
  <si>
    <t>Mapa nacional de cobertura boscosa, mapa de cambio de la cobertura boscosa, alertas nacionales de deforestación.</t>
  </si>
  <si>
    <t>Mapas elaborados y divulgados.</t>
  </si>
  <si>
    <t>Subdirección de Ecosistemas e Información Ambiental</t>
  </si>
  <si>
    <t>Fortalecer el programa de seguimiento y monitoreo de bosques</t>
  </si>
  <si>
    <t>Monitoreo y seguimiento del estado de los suelos y las tierras.</t>
  </si>
  <si>
    <t>* Fortalecer la gobernanza forestal y la . capacidad para administrar Zonas de Reserva Forestal en el país.
* Implementar la Estrategia Nacional de Reducción de Emisiones por Deforestación y Degradación (REDD).
* Implementar el Inventario Forestal Nacional.
* Avanzar en la implementación de la Visión Amazonía.</t>
  </si>
  <si>
    <t>Inventario Forestal Nacional implementado gradualmente.</t>
  </si>
  <si>
    <t xml:space="preserve">Implementación  gradual del Inventario Forestal Nacional.
</t>
  </si>
  <si>
    <t>Porcentaje de implementación del IFN</t>
  </si>
  <si>
    <t>Consolidar el programa de monitoreo y seguimiento de los suelos y las tierras.</t>
  </si>
  <si>
    <t>Línea base de degradación de suelos</t>
  </si>
  <si>
    <t xml:space="preserve">Línea base de degradación de suelos elaborada.  </t>
  </si>
  <si>
    <t>Fortalecer el programa de seguimiento y monitoreo de los suelos y las tierras</t>
  </si>
  <si>
    <t>Actualización de información y programa para pronostico de amenaza por deslizamientos</t>
  </si>
  <si>
    <t>Programa elaborado para pronostico de amenaza por deslizamientos.</t>
  </si>
  <si>
    <t>Estrategia 2: Ordenamiento integral del territorio para el desarrollo sostenible.</t>
  </si>
  <si>
    <t>Acción: Unificación de lineamientos para el ordenamiento integral del territorio.</t>
  </si>
  <si>
    <t xml:space="preserve">Programa de monitoreo de los ecosistemas del país
</t>
  </si>
  <si>
    <t xml:space="preserve">Programa de seguimiento, monitoreo y evaluación de los ecosistemas continentales,  y sus servicios ecosistémicos.
</t>
  </si>
  <si>
    <t>Productos temáticos generados como insumo para consolidar el programa de monitoreo de ecosistemas</t>
  </si>
  <si>
    <t>Fortalecer el seguimiento y monitoreo de los ecosistemas y sus servicios ecosistémicos</t>
  </si>
  <si>
    <t>Sistema de monitoreo, seguimiento y evaluación de los ecosistemas y servicios ecosistémicos  de Colombia.</t>
  </si>
  <si>
    <t xml:space="preserve">documento y un nuevo desarrollo: producto asiociado al  cubo de datos.(2).  Waves hoja de ruta pedir a claudia </t>
  </si>
  <si>
    <t>SIAC fortalecido y permitiendo el acceso y uso de la información ambiental generada por el SINA para los procesos de toma de decisiones.</t>
  </si>
  <si>
    <t xml:space="preserve">Productos temáticos generados de SIAC.
</t>
  </si>
  <si>
    <t>Fortalecer el SIAC y el SIA del Ideam</t>
  </si>
  <si>
    <t xml:space="preserve">Sistema de Información Ambiental consolidado. </t>
  </si>
  <si>
    <t xml:space="preserve">Subsistemas interoperando en el marco de SIAC.
</t>
  </si>
  <si>
    <t>Servicios  de información diseñados.</t>
  </si>
  <si>
    <t>Pronósticos del tiempo y productos desarrollados a partir del modelo del centro europeo.</t>
  </si>
  <si>
    <t xml:space="preserve">Pronósticos elaborados. 
</t>
  </si>
  <si>
    <t>Seguimiento a las condiciones meteorológicas extremas dadas por la probable ocurrencia de tormentas eléctricas.</t>
  </si>
  <si>
    <t xml:space="preserve">Boletines elaborados en los que se incluye información sobre descargas eléctricas.
</t>
  </si>
  <si>
    <t>Integrar al SNIGRD la información necesaria y adecuada para la toma de decisiones, con el fin de facilitar su acceso por parte de los sectores y territorios para avanzar en el conocimiento del riesgo, principalmente con fines de ordenamiento.</t>
  </si>
  <si>
    <t>Pronósticos y alertas hidrometeorológicas de manera continua (24 horas al día) y asesoramiento a entidades del SINA y del SNGRD.</t>
  </si>
  <si>
    <t>Boletines elaborados con estándares y calidad de datos.</t>
  </si>
  <si>
    <t>Entidades asesoradas del SINA y SNGRD.</t>
  </si>
  <si>
    <t>Pronósticos especializados a sectores productivos.</t>
  </si>
  <si>
    <t>Boletines elaborados de pronósticos emitidos a sectores especializados.</t>
  </si>
  <si>
    <t>Oficina del Servicio de Pronósticos y Alertas</t>
  </si>
  <si>
    <t>Generar pronósticos y alertas hidrometeorológicas de manera continua (24 horas al día) y asesorar entidades del SINA y del SNGRD.</t>
  </si>
  <si>
    <t>Generar pronósticos especializados a sectores productivos.</t>
  </si>
  <si>
    <t>Pronósticos elaborados.</t>
  </si>
  <si>
    <t>Boletines con información sobre descargas eléctricas.</t>
  </si>
  <si>
    <t>Boletines elaborados.</t>
  </si>
  <si>
    <t>Boletines de pronósticos emitidos a sectores especializados</t>
  </si>
  <si>
    <t>Radares banda X.</t>
  </si>
  <si>
    <t xml:space="preserve">Centros regionales de pronóstico. </t>
  </si>
  <si>
    <t>OFICINA DEL SERVICIO DE PRONÓSTICOS Y ALERTAS</t>
  </si>
  <si>
    <t>Fortalecer las capacidades de los institutos de investigación del SINA para aportar en el proceso de toma de decisiones.</t>
  </si>
  <si>
    <t>Herramientas informáticas para las áreas misionales (SIA) implementadas y en operación.</t>
  </si>
  <si>
    <t xml:space="preserve">Aplicativos probados e implementados.
</t>
  </si>
  <si>
    <t>Herramientas informáticas para la gestión de apoyo implementadas y en operación.</t>
  </si>
  <si>
    <t>Plataforma tecnológica disponible.</t>
  </si>
  <si>
    <t>Disponibilidad igual o mayor al 99%.</t>
  </si>
  <si>
    <t>Sistema de Gestión de Seguridad de la Información implementado con base en la Estrategia de Gobierno en Línea.</t>
  </si>
  <si>
    <t>Porcentaje de implementación del SGSI.</t>
  </si>
  <si>
    <t>Cumplimiento de Planes TIC para la gestión y Gobierno en Línea.</t>
  </si>
  <si>
    <t>Porcentaje de implementación del Manual GEL.</t>
  </si>
  <si>
    <t>Oficina de Informática</t>
  </si>
  <si>
    <t>Construir y/o mantener herramientas informáticas del Sistema de Información Ambiental.</t>
  </si>
  <si>
    <t>Construir y/o mantener herramientas informáticas de apoyo del IDEAM.</t>
  </si>
  <si>
    <t>Garantizar la disponibilidad de la infraestructura tecnológica de la Entidad.</t>
  </si>
  <si>
    <t>Actualizar e implementar el Sistema de Gestión de Seguridad de la Información.</t>
  </si>
  <si>
    <t>Implementar los planes gubernamentales para las TIC.</t>
  </si>
  <si>
    <t>Porcentaje de cumplimiento de implementación del manual GEL.</t>
  </si>
  <si>
    <t>Capacidad técnica y tecnológica para la recepción, almacenamiento, transformación y publicación de los datos recibidos de las estaciones.</t>
  </si>
  <si>
    <t>OFICINA DE INFORMÁTICA</t>
  </si>
  <si>
    <t xml:space="preserve">Asegurar la sostenibilidad del Sistema de Gestión  Integral de la Entidad. </t>
  </si>
  <si>
    <t>Informe de auditoria al SGI (seguimiento).</t>
  </si>
  <si>
    <t>Oficina Asesora de Planeación</t>
  </si>
  <si>
    <t>Asegurar la sostenibilidad del Sistema de Gestión Integral de la Entidad.</t>
  </si>
  <si>
    <t xml:space="preserve">Sistemas de gestión de calidad. </t>
  </si>
  <si>
    <t>Informe de auditoria al SGI (recertificación).</t>
  </si>
  <si>
    <t>DEPENDENCIA</t>
  </si>
  <si>
    <t>TOTAL INVERSIÓN</t>
  </si>
  <si>
    <t>Subdirección de Ecosistemas</t>
  </si>
  <si>
    <t>Grupo Operación de Redes</t>
  </si>
  <si>
    <t>Oficina de Pronósticos</t>
  </si>
  <si>
    <t>Secretaría General</t>
  </si>
  <si>
    <t>ASIGNACIÓN INVERSIÓN</t>
  </si>
  <si>
    <t>DIFERENCIAS</t>
  </si>
  <si>
    <t>SUBDIRECCION DE ECOSISTEMAS</t>
  </si>
  <si>
    <t>SUBDIRECCIÓN DE METEOROLOGÍA</t>
  </si>
  <si>
    <t>Fortalecer las capacdades de los Institutos de investigación del SINA para aportar en el proceso de toma de decisiones.</t>
  </si>
  <si>
    <t>Instituto fortalecido en su infraestructura física.</t>
  </si>
  <si>
    <t>Formular el Plan de Infraestructura.</t>
  </si>
  <si>
    <t>Sedes adecuadas a infraestructura.</t>
  </si>
  <si>
    <t>Información entregada a usuarios internos y externos para contribuir a la mitigación del riesgo.</t>
  </si>
  <si>
    <t>Plan Institucional de Posicionamiento.</t>
  </si>
  <si>
    <t>Videos de pronóstico diario del tiempo producidos.</t>
  </si>
  <si>
    <t>Eventos de rendición de cuentas realizados.</t>
  </si>
  <si>
    <t>Personal capacitado y comprometido con el cumplimiento de la misión institucional.</t>
  </si>
  <si>
    <t xml:space="preserve">Formular el Plan Estratégico de Recursos Humanos: que contenga políticas   y parámetros de operación para el diseño del PIC, Plan de Bienestar e Incentivos, Evaluación de Desempeño.
</t>
  </si>
  <si>
    <t>% cumplimiento del Plan Institucional de Capacitación, PIC.</t>
  </si>
  <si>
    <t xml:space="preserve">Recurso humano capacitado. </t>
  </si>
  <si>
    <t xml:space="preserve">% cumplimiento del Programa de Bienestar Social.
</t>
  </si>
  <si>
    <t>% cumplimiento del Programa de Estímulos e Incentivos.</t>
  </si>
  <si>
    <t>Ejecución del Plan Estratégico</t>
  </si>
  <si>
    <t xml:space="preserve">Actualización Estudio Técnico -Fortalecimiento Institucional
</t>
  </si>
  <si>
    <t>IDEAM dotado de los bienes y servicios necesarios para que los usuarios accedan a la información que genera la Entidad.</t>
  </si>
  <si>
    <t xml:space="preserve"> Identficación de necesidades a nivel institucional</t>
  </si>
  <si>
    <t>Laboratorio construido</t>
  </si>
  <si>
    <t>SECRETARÍA GENERAL</t>
  </si>
  <si>
    <t>FUNCIONAMIENTO POA</t>
  </si>
  <si>
    <t>FUNCIONAMIENTO DESAGREGACIÓN ANEXO RESOLUCIÓN DE INCORPORACIÓN</t>
  </si>
  <si>
    <t>Servicios personales indirectos más gastos generales</t>
  </si>
  <si>
    <t>Servicios personales asociados a la nómina</t>
  </si>
  <si>
    <t>Total funcionamiento 2015</t>
  </si>
  <si>
    <t>Construcción Laboratorio Calidad Ambiental - Bogotá</t>
  </si>
  <si>
    <t>TOTAL FUNCIONAMIENTO</t>
  </si>
  <si>
    <t xml:space="preserve">TOTAL INVERSIÓN </t>
  </si>
  <si>
    <t>TOTAL PRESUPUESTO 2016</t>
  </si>
  <si>
    <t>GRUPO OPERACIÓN DE REDES</t>
  </si>
  <si>
    <t xml:space="preserve"> Capas oficializadas y dispuestas en los diferentes medios de acceso</t>
  </si>
  <si>
    <t>DECRETO 2550 DIC.30 DE 2015</t>
  </si>
  <si>
    <t>APORTE NACIÓN</t>
  </si>
  <si>
    <t>APORTES NACIÓN 11</t>
  </si>
  <si>
    <t>APORTES NACIÓN 13</t>
  </si>
  <si>
    <t xml:space="preserve"> Laboratorios acreditados y/o organizaciones autorizadas
</t>
  </si>
  <si>
    <t>Brindar soporte técnico, jurídico, administrativo y financiero al proyecto de inversión del IDEAM</t>
  </si>
  <si>
    <t>Soporte técnico, jurídicos, administrativo y financiero operando en el proyecto de inversión.</t>
  </si>
  <si>
    <t>Efectiva gestión del proyecto</t>
  </si>
  <si>
    <t>Promover el desarrollo del Talento Humano para el mejorar y fortalecer su desempeño. Ejecución plan estratégico</t>
  </si>
  <si>
    <t>Acreditar laboratorios ambientales y autorizar organizaciones, desarrollar un sistema de información para acreditación y adelantar evaluación en las pruebas de desempeño para los laboratorios.</t>
  </si>
  <si>
    <t>Informe monitoreo de medios de comunicación del IDEAM elaborado</t>
  </si>
  <si>
    <t>Oferta, Hidrodinámica, dinámica de sedimentación, demanda, calidad del agua y riesgos asociados al agua caracterizados en dos áreas hidrográficas.</t>
  </si>
  <si>
    <t xml:space="preserve">Documentos con avances y productos  temáticos en áreas hidrográficas seleccionadas.
</t>
  </si>
  <si>
    <t>Cuota de auditaje contranal (D.G.)</t>
  </si>
  <si>
    <t>Instituto interamericano para la investigacion del cambio global -iai-contribucion voluntaria (ley 304/96)(D.G)</t>
  </si>
  <si>
    <t>Sentencias (D:G)</t>
  </si>
  <si>
    <t>Bloqueado</t>
  </si>
  <si>
    <t>Realizar actividades para fortalecer  el  grupo de investigación del Ideam reconocido por colciencias y desarrollar actividades para mejorar la investigación, del instituto de hidrología, meteorología y estudios ambientales Ideam</t>
  </si>
  <si>
    <t>Aplicativos probados e implementados</t>
  </si>
  <si>
    <t>Gestión para la implementación de radar meteorológico para el monitoreo y seguimiento de las lluvias en tiempo real.</t>
  </si>
  <si>
    <t>Informes de gestión adelantados</t>
  </si>
  <si>
    <t xml:space="preserve">Entidades asesoradas </t>
  </si>
  <si>
    <t>Documento preliminar con identificación de conflcitos de uso en la región de la Orinoquía.</t>
  </si>
  <si>
    <t>Documentos con elemenos de análisis para planear la implementación de un sistema de alertas tempranas de calidad de agua</t>
  </si>
  <si>
    <t xml:space="preserve">Documento elaborado </t>
  </si>
  <si>
    <t>Adquirir equipos multimedia para difusión contenidos digitales  comunicación interna y externa.</t>
  </si>
  <si>
    <t>Adquirir Hardware y Software, para divulgación Grupo de Comunicaciones.</t>
  </si>
  <si>
    <t>Elaborar, publicar y realizar el seguimiento del Plan Anticorrupción y de Atención al Ciudadano.</t>
  </si>
  <si>
    <t>Plan publicado e informe de seguimiento.</t>
  </si>
  <si>
    <t>Informe de avance</t>
  </si>
  <si>
    <t>Datos diferentes en Plan Indicativo Cuatrienal (Pàgina Web/Planeaciòn/Planes/Plan Estratègico Institucional/Plan Cuatrienal/V1.0 22ENE16/…). Son 4, 3 y 100%</t>
  </si>
  <si>
    <t>OFICINA DE CONTROL INTERNO</t>
  </si>
  <si>
    <t>SEGUIMIENTO PLAN OPERATIVO ANUAL - CORTE 30 JUNIO DE 2016</t>
  </si>
  <si>
    <t>Actividades con prioridad para seguimiento y anàlisis</t>
  </si>
  <si>
    <t>Datos diferentes en Plan Indicativo Cuatrienal (Pàgina Web/Planeaciòn/Planes/Plan Estratègico Institucional/Plan Cuatrienal/V1.0 22ENE16/…). Son 4, 3 y 100%.</t>
  </si>
  <si>
    <t>CGR-Hallazgo 16 auditorìa 2015</t>
  </si>
  <si>
    <t>Meta PND - CGR Hallazgo 6</t>
  </si>
  <si>
    <t>Meta PND - CGR Hallazgos 6 y 17-18 (el 17 y 18 -IFN- tienen alcance disciplinario y fiscal)</t>
  </si>
  <si>
    <t>El POA2016 V19AGT16 presenta un total de $113`488.629, con una disminuciòn de $12`000.000.</t>
  </si>
  <si>
    <t>El POA2016 V19AGT16 presenta un total de $4.671`902.628, con un aumento de $50`351.851.</t>
  </si>
  <si>
    <t>El POA2016 V19AGT16 presenta un total de $321`466.580, con un aumento de $1`000.000.</t>
  </si>
  <si>
    <t>idem</t>
  </si>
  <si>
    <t>El POA2016 V19AGT16 presenta un total de $6.278`665.570, con un aumento de $2.200`000.000.</t>
  </si>
  <si>
    <t>El POA2016 V19AGT16 presenta un total de $3.628`665.570, con un aumento de $1.100`000.000.</t>
  </si>
  <si>
    <t>El POA2016 V19AGT16 presenta un total de $2.650`000.000, con un aumento de $1.100`000.000.</t>
  </si>
  <si>
    <t>El POA2016 V19AGT16 presenta un total de $25`634.661, con una disminuciòn de $38`351.851.</t>
  </si>
  <si>
    <t>El POA2016 V19AGT16 presenta un total de $2.518`278.993, con una disminuciòn de $2.201`000.000.</t>
  </si>
  <si>
    <t>El POA2016 V19AGT16 presenta un total de $0, con una disminuciòn de $1.100`000.000.</t>
  </si>
  <si>
    <t>El POA2016 V19AGT16 presenta un total de $2.518`278.993, con una disminuciòn de $1.101`000.000.</t>
  </si>
  <si>
    <t>Aumentos y disminuciones en POA2016 V19AGT16</t>
  </si>
  <si>
    <t>PRODUCTOS</t>
  </si>
  <si>
    <t>RECURSOS EJECUTADOS</t>
  </si>
  <si>
    <t>INFORME DEL AREA -31 AGOSTO 2016</t>
  </si>
  <si>
    <r>
      <t xml:space="preserve">Seguimiento OCI Agosto 2016 </t>
    </r>
    <r>
      <rPr>
        <b/>
        <sz val="12"/>
        <color rgb="FFFF0000"/>
        <rFont val="Arial"/>
        <family val="2"/>
      </rPr>
      <t>(Avance proporcional 67%)</t>
    </r>
  </si>
  <si>
    <t>SEGUIMIENTO PLAN OPERATIVO ANUAL</t>
  </si>
  <si>
    <t>Seguimiento OCI Agosto 2016 (Avance proporcional 67%)</t>
  </si>
  <si>
    <t xml:space="preserve">PRODUCTOS </t>
  </si>
  <si>
    <t>Datos diferentes (Plan Indicativo Cuatrienal (Pàgina Web/Planeaciòn/Planes/Plan Estratègico Institucional/Plan Cuatrienal/V1.0 22ENE16/…, u otros referentes).</t>
  </si>
  <si>
    <t>Datos modificados</t>
  </si>
  <si>
    <t>CGR-Hallazgo 15, 16 auditorìa 2015</t>
  </si>
  <si>
    <t>CGR-Hallazgo 16 y 14 auditorìa 2015</t>
  </si>
  <si>
    <t>Las metas de los 4 mapas estan alineadas con cooperaciòn internacional. En el documento PROGRAMACION DE CONTRATOS VIGENCIA 2016 (Hoja Programaciòn contrato-resumen) de la dependencia, se registran 13 contratos por $2.855`000.000, de los cuales hay 6 contratos sin iniciar por valor de $959`218.132.</t>
  </si>
  <si>
    <r>
      <rPr>
        <u/>
        <sz val="9"/>
        <color theme="1"/>
        <rFont val="Arial"/>
        <family val="2"/>
      </rPr>
      <t>JUN/16</t>
    </r>
    <r>
      <rPr>
        <sz val="9"/>
        <color theme="1"/>
        <rFont val="Arial"/>
        <family val="2"/>
      </rPr>
      <t xml:space="preserve">: *Se realizaron tres salidas de campo, dos al glaciar Conejeras en el volcán nevado Santa Isabel y una para el glaciar Ritacuba Blanco en la sierra nevada El Cocuy o Gücán. *Se avanzó en la documentación de 5 de las 22 planchas del bloque II, entregada al SGC para comentarios y observaciones. (Se puede consultar las evidencias en los Exp. 201610202705900099E y 201610202705900128E). *Generación de la versión preliminar del documento técnico de actualización de la clasificación (jerárquica y sistemática) a utilizar en campo para el establecimiento de la LB de degradación de suelos por salinización. *Generación de la versión preliminar del documento técnico con la propuesta del sistema de muestreo de suelos a utilizar en campo para el establecimiento de la LB de degradación de suelos por Salinización. *Se adelantaron los trabajos de campo para la zonificación de la degradación de suelos por salinización en los departamentos del Huila, Quindío, Valle del Cauca y Cauca. *Generación del documento técnico con los resultados de la identificación y evaluación de la información documental y cartográfica oficial disponible para la elaboración de la Línea base de degradación de suelos por salinización. * Generación del documento técnico preliminar del modelo lógico y cartográfico para la zonificación. </t>
    </r>
    <r>
      <rPr>
        <sz val="9"/>
        <color rgb="FFFF0000"/>
        <rFont val="Arial"/>
        <family val="2"/>
      </rPr>
      <t>Avance del 45%.</t>
    </r>
    <r>
      <rPr>
        <sz val="9"/>
        <color theme="1"/>
        <rFont val="Arial"/>
        <family val="2"/>
      </rPr>
      <t xml:space="preserve"> </t>
    </r>
    <r>
      <rPr>
        <u/>
        <sz val="9"/>
        <color theme="1"/>
        <rFont val="Arial"/>
        <family val="2"/>
      </rPr>
      <t>AGT/16</t>
    </r>
    <r>
      <rPr>
        <sz val="9"/>
        <color theme="1"/>
        <rFont val="Arial"/>
        <family val="2"/>
      </rPr>
      <t xml:space="preserve">: Mediante el contrato 092 IDEAM - UDCA, se avanzó en la elaboraración de los insumos técnicos para establecer la línea base de degradación de suelos por salinización en Colombia a escala 1:100.000, Fase II, con los siguientes productos a)Documento técnico del segundo informe de los trabajos de campo realizados en el área Hidrográfica Magdalena -  Cauca. b) Informe técnico consolidado de la información documental y cartográfica disponible para la elaboración de la línea base de degradación de suelos por salinización. c)Cobertura digital y base de datos estructurada y consolidada de cada uno de los insumos técnicos (biofísicos y socioeconómicos) con su respectivo control de calidad cartográfico y temático (coberturas digitales de uso del suelo, distritos de riego y calidad del agua, proyectos agrícolas, mineros, entre otros). d)Cobertura digital de los trabajos de campo y los resultados de los análisis fisicoquímicos de suelos y calidad de aguas, levantados en campo en la fase II, consolidado. e)Cobertura digital de avance de la zonificación de los procesos de degradación de suelos por salinización del área hidrográfica Magdalena Cauca, escala 1:100,000, formato Shape File y GDB. Los avances se pueden consultar en X:\Ecosistemas\1-SUELOS Y TIERRAS\2016\Info Suelos\Contrato 092 de 2016\Informes 2016\Informe Julio 2016. </t>
    </r>
    <r>
      <rPr>
        <sz val="9"/>
        <color rgb="FFFF0000"/>
        <rFont val="Arial"/>
        <family val="2"/>
      </rPr>
      <t>Avance del 65%.</t>
    </r>
  </si>
  <si>
    <r>
      <rPr>
        <u/>
        <sz val="9"/>
        <color theme="1"/>
        <rFont val="Arial"/>
        <family val="2"/>
      </rPr>
      <t>JUN/16</t>
    </r>
    <r>
      <rPr>
        <sz val="9"/>
        <color theme="1"/>
        <rFont val="Arial"/>
        <family val="2"/>
      </rPr>
      <t xml:space="preserve">: Cubo de datos: * Se definió protocolo de toma de muestras radiométricas en campo y se definieron fechas de salida de campo. * Se han descargado imágenes Landsat 7 del catálogo de USGS en nivel 1T en reflectancia de superficie para toda la cobertura nacional  de los años 2000-2001-2002-2003-2004-2005 (5612 imágenes). Por su parte se han ingestado al cubo imágenes para los años 2000-2001 y 2002. * Se realizó  instalación preliminar de la versión 2.0 del cubo de datos y se están revisando y ajustando las aplicaciones existentes. 
Mapa de Ecosistemas: * Se ajusto y estructuró la información base del mapa de ecosistemas, que comprende las capas de clima, geopedología y cobertura. Todo de acuerdo a los estándares cartográficos del IDEAM. * Se generó el primer cruce de información entre las capas de clima y geopedología; se revisó y editó la capa resultante. * Se realizaron acercamientos con el IAvH para la actualización de la capa de unidades bióticas. Los avances se pueden consultar en: D:\VANESSA_MONTAÑEZ\VANESSA-2016\MAPA_ECOSISTEMAS_1_100000_V2.0\MAPA\RESULTADOS. </t>
    </r>
    <r>
      <rPr>
        <sz val="9"/>
        <color rgb="FFFF0000"/>
        <rFont val="Arial"/>
        <family val="2"/>
      </rPr>
      <t xml:space="preserve">Avance del 40%. </t>
    </r>
    <r>
      <rPr>
        <u/>
        <sz val="9"/>
        <rFont val="Arial"/>
        <family val="2"/>
      </rPr>
      <t>AGT/16</t>
    </r>
    <r>
      <rPr>
        <sz val="9"/>
        <rFont val="Arial"/>
        <family val="2"/>
      </rPr>
      <t>: Cubo de datos: * Se realiza la primera salida de campo con IGAC para la toma de muestras espectrales en terreno en diferentes tipos de coberturas. En la sálida participaron profesionales de IDEAM e IGAC. *Se continua con el proceso de descarga de imágenes Landsat 7 del catálogo de USGS en nivel 1T en reflectancia de superficie para toda la cobertura nacional  de los años  2006 - 2014 (Aproximadamente 9300 imágenes descargadas en total). Por su parte se han ingestado al cubo imágenes para los años 2003 - 2004. * Se continuaron desarrollando pruebas en la versión 2.0 del cubo de datos.
Mapa de Ecosistemas: * Se generó el cruce del shape "clima y geopedología" con el el shape de "cobertura", se revisó y editó la capa resultante. Todo de acuerdo a los estándares cartográficos del IDEAM. * Para correr los procesos cartográficos, fué necesario dividir el shape en las cinco áreas hidrográficas del país. * Se incorporó la base de ecosistemas acuáticos de ambientes lóticos y lénticos, con el fin de mantener la información recopilada para la versión 1.0 del mapa y se verificó con la cobertura actual y las imágenes de satélite. * Se realizó la identificación de los ecosistemas síntesis, ecosistemas generales y la unidad síntesis de los ecosistemas para cada área hidrográfica. * Se generaron los Biomas generales y preliminares del mapa de ecosistemas versión 2.0. * Se asoció la información de las unidades bióticas del Instituto Humboldt entregada en octubre de 2015, para conformar los "Biomas-Unidades Bióticas". * Se cuenta con el resultado preliminar de los ecosistemas por área hidrográfica, el paso siguiente es la revisión de la consistencia Temática y la depuración de áreas pequeñas. * La actualización de los ecosistemas se realizará solamente de los ecosistemas continentales, debido a que el INVEMAR no cuenta con información mas actualizada de los ecosistemas marinos. Los avances se pueden consultar en: D:\VANESSA_MONTAÑEZ\VANESSA2016\MAPA_ECOSISTEMAS_1_100000_V2.0\MAPA\RESULTADOS.</t>
    </r>
    <r>
      <rPr>
        <sz val="9"/>
        <color rgb="FFFF0000"/>
        <rFont val="Arial"/>
        <family val="2"/>
      </rPr>
      <t>Avance del 60%.</t>
    </r>
  </si>
  <si>
    <t>Del total de los recursos $961`173.589, se registran contratos por valor de $931`200.666, de los cuales hay 3 sin iniciar ($183`692.154).</t>
  </si>
  <si>
    <t>Informes de bimestres MAY/JUN y JUL/AGT 2016</t>
  </si>
  <si>
    <r>
      <rPr>
        <u/>
        <sz val="9"/>
        <color theme="1"/>
        <rFont val="Arial"/>
        <family val="2"/>
      </rPr>
      <t>JUN/16</t>
    </r>
    <r>
      <rPr>
        <sz val="9"/>
        <color theme="1"/>
        <rFont val="Arial"/>
        <family val="2"/>
      </rPr>
      <t>: * Generación del boletín de alertas tempranas de deforestación del segundo semestre 2015 e impresión. * Generación de alertas tempranas de deforestación del primer trimestre 2016 - 90% avance. * Evaluación de la exactitud temática del mapa deforestación 2013 y 2014. * Reprocesamiento de imágenes landsat 2014 -2015 - avance 95%. * Respuesta a los evaluadores del anexo técnico del nivel de referencias de emisiones por deforestación.</t>
    </r>
    <r>
      <rPr>
        <sz val="9"/>
        <color rgb="FFFF0000"/>
        <rFont val="Arial"/>
        <family val="2"/>
      </rPr>
      <t xml:space="preserve"> Avance 45%.
</t>
    </r>
    <r>
      <rPr>
        <u/>
        <sz val="9"/>
        <color theme="1"/>
        <rFont val="Arial"/>
        <family val="2"/>
      </rPr>
      <t>AGT/16</t>
    </r>
    <r>
      <rPr>
        <sz val="9"/>
        <color theme="1"/>
        <rFont val="Arial"/>
        <family val="2"/>
      </rPr>
      <t xml:space="preserve">: * Versión preliminar de la estimación de la deforestación para el periodo 2014-2015 a nivel nacional, se realiza el proceso de revisón final de los resultados. El preprocesamiento,  procesamiento y generación del compuesto anual de deforestación para el 2015 está finalizado. *Generación de las Alertas Tempranas de Deforestación para el Primer y Segundo Trimestre de 2016 usando imágenes MODIS. * Generación de Alertas Tempranas de Deforestación para el área de interés de Corazón de la Amazonia usando imagenes Sentinel 1a y 1b. </t>
    </r>
    <r>
      <rPr>
        <sz val="9"/>
        <color rgb="FFFF0000"/>
        <rFont val="Arial"/>
        <family val="2"/>
      </rPr>
      <t>Avance 70%.</t>
    </r>
  </si>
  <si>
    <r>
      <rPr>
        <u/>
        <sz val="9"/>
        <color theme="1"/>
        <rFont val="Arial"/>
        <family val="2"/>
      </rPr>
      <t>JUN/16</t>
    </r>
    <r>
      <rPr>
        <sz val="9"/>
        <color theme="1"/>
        <rFont val="Arial"/>
        <family val="2"/>
      </rPr>
      <t xml:space="preserve">: * Se formalizaron los contratos de SINCHI e IIAP para la implementación del Inventario Forestal Nacional en la Amazonía y el Pacífico respectivamente. * Del 8 al 11 de junio se llevó a cabo el taller de entrenamiento con las brigadas que realizarán los levantamientos en las regiones Andina, Caribe y Orinoquia en el cual participaron 22 personas de las diferentes instituciones facilitadoras, el IAvH y el IDEAM con el fin de estandarizar métodos antes de iniciar los trabajos de campo. Dicho taller se realizó en Bogotá (parte teórica) y Guasca (parte práctica). * Se sostuvieron reuniones con funcionarios de la Dirección de consulta previa, de la Dirección de Asuntos Indígenas, Rom y Minorias y de la Dirección de Asuntos para Comunidades Negras, Afrocolombianas, Raizales y Palenqueras. Resultado de dichas jornadas de discusión desde las diferentes dependencias del Ministerio del Interior, se indicó que dada la naturaleza del IFN no se requiere realizar un proceso de consulta previa toda vez que su ejecución no implica una afectación a los territorios habitados por las comunidades y lo más importante porque con la implementación del IFN se está dando cumplimiento a uno de los objetivos misionales por los cuales fue creado el IDEAM. * Del 14 al 18 de junio en la estación experimental El trueno localizada en San josé del Guaviare, se llevó a cabo el taller de entrenamiento con las brigadas del Instituto SINCHI, al cual asistieron 22 personas, además del personal de las brigadas de la Fundación Orinoquia Biodiversa encargadas de realizar los levantamientos en la Orinoquia. Dicho taller se realizó previo al inicio de labores de campo para 2016 con el fin de estandarizar metodologías entre los asistentes. </t>
    </r>
    <r>
      <rPr>
        <sz val="9"/>
        <color rgb="FFFF0000"/>
        <rFont val="Arial"/>
        <family val="2"/>
      </rPr>
      <t xml:space="preserve">Avance 40%.
</t>
    </r>
    <r>
      <rPr>
        <u/>
        <sz val="9"/>
        <rFont val="Arial"/>
        <family val="2"/>
      </rPr>
      <t>AGT/16</t>
    </r>
    <r>
      <rPr>
        <sz val="9"/>
        <rFont val="Arial"/>
        <family val="2"/>
      </rPr>
      <t xml:space="preserve">: * Se han establecido sesenta y cuatro (64) conglomerados de parcelas a nivel nacional, regiones de los Andes, Caribe, Orinoquia, Amazonia y Pacífico y una (1) parcela permanente de una (1) hectárea, esta última en el Pacífico. * Del 25 de julio al 5 de agosto se llevó a cabo el taller de entrenamiento en aspectos relacionados con los procesos de aseguramiento de calidad en el marco de la implementación del IFN el cual contó con la participación de expertos del servicio forestal de EEUU. * Diseño de formularios de campo para el registro de información en la plataforma OpenForis. * 80% de la información levantada en 2015 migrada a la base de datos. * 81% de la información de conglomerados levantados en 2016 en base de datos. * Se realizaron reuniones de socialización del Inventario Forestal Nacional con el Ministerio de Agricultura y Desarrollo Rural en las que se presentó el proyecto, sus alcances, variables para las cuales se generará información y usos de la misma. </t>
    </r>
    <r>
      <rPr>
        <sz val="9"/>
        <color rgb="FFFF0000"/>
        <rFont val="Arial"/>
        <family val="2"/>
      </rPr>
      <t>Avance 60%.</t>
    </r>
  </si>
  <si>
    <t xml:space="preserve">Se modificò la meta del cuatrienio del 50% al 40% en relaciòn al producto esperado (PLAN INDICATIVO CUATRIENAL 2015-2018 -IDEAM), lo que produjo una rebaja en porcentaje de avance al 5% para 2016. En el desarrollo del proyecto se han identificado conglomerados y parcelas a nivel nacional, conforme los avances de los contratos que se han firmado (SINCHI e IIAP).
Indican un avance del 60%. </t>
  </si>
  <si>
    <t>Se cuenta con los siguientes documentos (productos):
1-Documento técnico del segundo informe de los trabajos de campo realizados en el área Hidrográfica Magdalena - Cauca.
2-Informe técnico consolidado de la información documental y cartográfica disponible para la elaboración de la línea base de degradación de suelos por salinización.
3-Cobertura digital y base de datos estructurada y consolidada de cada uno de los insumos técnicos (biofísicos y socioeconómicos) con su respectivo control de calidad cartográfico y temático (coberturas digitales de uso del suelo, distritos de riego y calidad del agua, proyectos agrícolas, mineros, entre otros).
4-Cobertura digital de los trabajos de campo y los resultados de los análisis fisicoquímicos de suelos y calidad de aguas, levantados en campo en la fase II, consolidado.
5-Cobertura digital de avance de la zonificación de los procesos de degradación de suelos por salinización del área hidrográfica Magdalena Cauca, escala 1:100,000, formato Shape File y GDB.
Indican un avance del 65%.</t>
  </si>
  <si>
    <t>Se registran 3 contratos en ejecuciòn por $751`815.040. Uno de ellos es el contrato 92 del 01/ABR/16 por valor de $630`000.000 con UDCA,  cuyo objeto contractual es: Elaborar los insumos técnicos para establecer la línea base de degradación de suelos por salinización en Colombia a escala 1:100.000. Fase II. Hay una partida de $30`000.000 para contrataciòn directa sin ejecutar.</t>
  </si>
  <si>
    <r>
      <rPr>
        <u/>
        <sz val="9"/>
        <color theme="1"/>
        <rFont val="Arial"/>
        <family val="2"/>
      </rPr>
      <t>JUN/16</t>
    </r>
    <r>
      <rPr>
        <sz val="9"/>
        <color theme="1"/>
        <rFont val="Arial"/>
        <family val="2"/>
      </rPr>
      <t xml:space="preserve">: * Se contrató el web master del potal Web del SIAC. * Se realizó un taller con la Corportación Autónoma de la Meseta de Bucaramanga, donde se presentaron los servicios actuales del SIAC y se realizó una encuesta sobre los procesos de gestión de información ambiental y uso de subsistemas, a fin de avanzar en la estandarización del documento de lineamientos. * Se presentó a consideración y revisión del Comité Técnico del SIAC los documentos: Lineamientos para la generación y mantenimiento de sistemas de información ambiental, asociados al SIAC y Lineamientos y mecanismos para la disposición oportuna y eficiente de la información geográfica al Geovisor del SIAC, a fin de consolidar los documentos finales. * Elaboración y envío del Boletín del mes de junio del SIAC al listado de contactos y publicación en el portal Web. Evidencias dispuestas en: X:\Ecosistemas\POA2016\EVIDENCIAS POA 2016\NIDIA YNATALIA\EVIDENCIAS JUNIO. </t>
    </r>
    <r>
      <rPr>
        <sz val="9"/>
        <color rgb="FFFF0000"/>
        <rFont val="Arial"/>
        <family val="2"/>
      </rPr>
      <t>Avance 30%.</t>
    </r>
    <r>
      <rPr>
        <sz val="9"/>
        <color theme="1"/>
        <rFont val="Arial"/>
        <family val="2"/>
      </rPr>
      <t xml:space="preserve"> 
</t>
    </r>
    <r>
      <rPr>
        <u/>
        <sz val="9"/>
        <color theme="1"/>
        <rFont val="Arial"/>
        <family val="2"/>
      </rPr>
      <t>AGT/16</t>
    </r>
    <r>
      <rPr>
        <sz val="9"/>
        <color theme="1"/>
        <rFont val="Arial"/>
        <family val="2"/>
      </rPr>
      <t xml:space="preserve">: * Se actualizó la plantilla principal del portal Web del SIAC, atendiendo recomendaciones de la oficina de Informática del IDEAM, se diagramaron nuevos contenidos los cuales están en proceso de edición. * Elaboración y envío de los boletines SIAC correspondientes a los meses de julio y agosto. * Realización del Taller: Herramientas para la gestión de la información ambiental los días 23 y 24 de agosto con representantes de las corporaciones Cormacarena, Corpoguavio, Corpochivor, Corpoboyacá y Secretaría Distrital de Ambiental. * Elaboración de un afiche divulgativo general sobre los subsistemas del SIAC y uno particular sobre el subsistema Registro Único Ambiental. * Elaboración de un material multimedia sobre servicios de información en el SIAC. </t>
    </r>
    <r>
      <rPr>
        <sz val="9"/>
        <color rgb="FFFF0000"/>
        <rFont val="Arial"/>
        <family val="2"/>
      </rPr>
      <t>Avance 50%</t>
    </r>
    <r>
      <rPr>
        <sz val="9"/>
        <color theme="1"/>
        <rFont val="Arial"/>
        <family val="2"/>
      </rPr>
      <t>.</t>
    </r>
  </si>
  <si>
    <t xml:space="preserve">Lo descrito en el indicador se asocia con los 3 productos temàticos del SIAC. Se presenta una descripciòn de tareas. </t>
  </si>
  <si>
    <r>
      <rPr>
        <u/>
        <sz val="9"/>
        <color theme="1"/>
        <rFont val="Arial"/>
        <family val="2"/>
      </rPr>
      <t>JUN/16</t>
    </r>
    <r>
      <rPr>
        <sz val="9"/>
        <color theme="1"/>
        <rFont val="Arial"/>
        <family val="2"/>
      </rPr>
      <t xml:space="preserve">: * Se diseñó el componente de software para disponer ventanas regionales y cifras ambientales desde entidades socias como autoridades ambientales e institutos de investigación. Se aneza manual tecnico, manual descriptivo de los webservices, e instaladores. * Se contrató un profesional SIG para el SIAC. * Se definió la nueva estructura y diseño del catálogo de mapas del portal Web del SIAC y se implementó este nuevo diseño en 25 capas geográficas, link catálogo http://www.siac.gov.co/Catalogo_mapas.html. * Se realizó un taller para el uso del Bus de servicios, el cual permite el intercambio de información entre entidades socias que disponen sus datos a través de webservices. En el taller participó personal tecnico del IDEAM, IAvH, ANLA, PNN. * Se cuenta con una primera versión del documento de especificación de requerimientos para articular información desde los subsistemas del SIAC, para que sirvan de insumo para el Registro de Emisiones y Transferencia de Contaminantes. X:\Ecosistemas\POA 2016\EVIDENCIAS POA 2016\NIDIA Y NATALIA\EVIDENCIAS JUNIO. </t>
    </r>
    <r>
      <rPr>
        <sz val="9"/>
        <color rgb="FFFF0000"/>
        <rFont val="Arial"/>
        <family val="2"/>
      </rPr>
      <t>Avance 30%.</t>
    </r>
    <r>
      <rPr>
        <sz val="9"/>
        <color theme="1"/>
        <rFont val="Arial"/>
        <family val="2"/>
      </rPr>
      <t xml:space="preserve"> 
</t>
    </r>
    <r>
      <rPr>
        <u/>
        <sz val="9"/>
        <color theme="1"/>
        <rFont val="Arial"/>
        <family val="2"/>
      </rPr>
      <t>AGT/16</t>
    </r>
    <r>
      <rPr>
        <sz val="9"/>
        <color theme="1"/>
        <rFont val="Arial"/>
        <family val="2"/>
      </rPr>
      <t xml:space="preserve">:* Se implementó el nuevo diseño  del catálogo de mapas en otras nuevas  20 capas geográficas, link catálogo http://www.siac.gov.co/Catalogo_mapas.html. * Se realizó la instalación del componente de intercambio de cifras para el portal SIAC desde Parques Nacionales Naturales e INVEMAR. * Se formalizó convenio MADS - IAvH para la realización del  Dash board de cifras de biodiversidad, el IDEAM partició con el diseño de las condiciones técnicas de este nuevo servicio que se visualizará a través del portal Web del SIAC. </t>
    </r>
    <r>
      <rPr>
        <sz val="9"/>
        <color rgb="FFFF0000"/>
        <rFont val="Arial"/>
        <family val="2"/>
      </rPr>
      <t>Avance 50%.</t>
    </r>
  </si>
  <si>
    <r>
      <rPr>
        <u/>
        <sz val="9"/>
        <color theme="1"/>
        <rFont val="Arial"/>
        <family val="2"/>
      </rPr>
      <t>JUN/16</t>
    </r>
    <r>
      <rPr>
        <sz val="9"/>
        <color theme="1"/>
        <rFont val="Arial"/>
        <family val="2"/>
      </rPr>
      <t xml:space="preserve">: Se eliminaron 200 metadatos del sistema de gestion de metadatos geonetwork, que no tenian informacion en la base de datos geografica. Se subieron a la geodatabase y se dispusieron en geoservicios, las siguientes capas: Función Gama 1+1k Anual durante el periodo 2000-2010, Función Gama 1+1k Mensual durante el periodo 2000-2010, Función Gama 1+2k Anual durante el periodo 2000-2010, Función Gama 1+2k Mensual durante el periodo 2000-2010, Función Gama 1+3k Anual durante el periodo 2000-2010, Función Gama 1+3k Mensual durante el periodo 2000-2010, Función Gama 1+4k Anual durante el periodo 2000-2010, Velocidad del viento a 10 metros de altura Anual durante el periodo 2000-2010, Velocidad del viento a 10 metros de altura Mensual durante el periodo 2000-2010, Velocidad del Viento a 50 Metros de Altura Anual durante el periodo 2000-2010, Velocidad del Viento a 50 Metros de Altura Mensual durante el periodo 2000-2010, Velocidad del Viento a 80 Metros de Altura Anual durante el periodo 2000-2010, Velocidad del Viento a 80 Metros de Altura Mensual durante el periodo 2000-2010, Velocidad del Viento a 100 Metros de Altura Anual durante el periodo 2000-2010, Velocidad del Viento a 100 Metros de Altura Mensual durante el periodo 2000-2010, Velocidad del Viento a 150 Metros de Altura Anual durante el periodo 2000-2010, Velocidad del Viento a 150 Metros de Altura Mensual durante el periodo 2000-2010, Velocidad del Viento a 200 Metros de Altura Anual durante el periodo 2000-2010, Velocidad del Viento a 200 Metros de Altura Mensual durante el periodo 2000-2010, Velocidad del Viento a 250 Metros de Altura Anual durante el periodo 2000-2010, Velocidad del Viento a 250 Metros de Altura Mensual durante el periodo 2000-2010, Velocidad del Viento de Máxima Energía Anual durante el periodo 2000-2010, Velocidad del viento de máxima energía mensual durante el periodo 2000-2010. </t>
    </r>
    <r>
      <rPr>
        <sz val="9"/>
        <color rgb="FFFF0000"/>
        <rFont val="Arial"/>
        <family val="2"/>
      </rPr>
      <t>Avance 40%.</t>
    </r>
    <r>
      <rPr>
        <sz val="9"/>
        <color theme="1"/>
        <rFont val="Arial"/>
        <family val="2"/>
      </rPr>
      <t xml:space="preserve"> 
</t>
    </r>
    <r>
      <rPr>
        <u/>
        <sz val="9"/>
        <color theme="1"/>
        <rFont val="Arial"/>
        <family val="2"/>
      </rPr>
      <t>AGT/16</t>
    </r>
    <r>
      <rPr>
        <sz val="9"/>
        <color theme="1"/>
        <rFont val="Arial"/>
        <family val="2"/>
      </rPr>
      <t xml:space="preserve">: Se eliminaron 600  metadatos del sistema de gestion de metadatos geonetwork, que no tenian informacion en la base de datos geografica. Se  revisaron e hicieron observaciones a los documentos de la Infraestructura de datos espaciales sobre  politicas de calidad de información geográfica, custodia de informacion geográfica, disposición, acceso y uso de la informacion geográfica, produccion de información geográfica y  propiedad intelectual, derechos de autor. Se han realizado procesos de mantenimiento y actualizacion a los geoservicios, se dispuso en la geodatabase en los geoservicios y en el visor la capa de corberturas de paramos, se realizo la presentacion del visor institucional al Departamento Nacional de Planeacion. Se actualizo la capa del catalogo Nacional de estaciones. Se realizo la revision y organizacion de la informacion de aptitud agroclimatica decadal para labores agricolas durante el periodo 1981-2010, Clasificacion climatica de Koppen durante el periodo 1981-2010, Indice hidrico de thomthwaile durante el periodo 1981-2010, lluvias maximas absolutas en 24 horas periodo de retorno de 10 años periodo 1981-2010,  luvias maximas absolutas en 24 horas periodo de retorno de 20 años periodo 1981-2010,luvias maximas absolutas en 24 horas periodo de retorno de 30 años periodo 1981-2010, luvias maximas absolutas en 24 horas periodo de retorno de 40 años periodo 1981-2010, luvias maximas absolutas en 24 horas periodo de retorno de 50 años periodo 1981-2010, luvias maximas absolutas en 24 horas periodo de retorno de 100 años periodo 1981-2010, Precipitacion total trimestral promedio multianual durante el periodo 1981-2010, Precipitación decadal promedio multianual durante el periodo 1981-2010,Regimen pluviometrico de Colombia durante el periodo 1981-2010, Sequia durante el periodo abril de 1976 a julio de 1977. Sequia durante el periodo julio de 1982 a diciembre de 1983, Sequia durante el periodo julio de 2002 a abril de 2003. </t>
    </r>
    <r>
      <rPr>
        <sz val="9"/>
        <color rgb="FFFF0000"/>
        <rFont val="Arial"/>
        <family val="2"/>
      </rPr>
      <t>Avance 60%.</t>
    </r>
  </si>
  <si>
    <t xml:space="preserve">Al revisar el alcance de los productos y la meta, no se advierte consistencia con lo planteado en el indicador de "Subsistemas interoperando en el marco de SIAC", que tiene una meta 0 para 2016.
</t>
  </si>
  <si>
    <t xml:space="preserve">Se adelantan los procesos de mantenimiento a los aplicativos de soporte existentes (COMISIONES, SICAPITAL, PERNO, ORFEO). </t>
  </si>
  <si>
    <r>
      <rPr>
        <u/>
        <sz val="9"/>
        <color theme="1"/>
        <rFont val="Arial"/>
        <family val="2"/>
      </rPr>
      <t>JUN/16</t>
    </r>
    <r>
      <rPr>
        <sz val="9"/>
        <color theme="1"/>
        <rFont val="Arial"/>
        <family val="2"/>
      </rPr>
      <t xml:space="preserve">: Se continùa ejecución de contrato de outsourcing. Elaboracion de estudios previos para el mantenimiento preventivo del sistema de recepción satelital. Evidencia:\\cona\grpdata$\Informatica\General\Precontractual. </t>
    </r>
    <r>
      <rPr>
        <sz val="9"/>
        <color rgb="FFFF0000"/>
        <rFont val="Arial"/>
        <family val="2"/>
      </rPr>
      <t xml:space="preserve">Avance 99%.
</t>
    </r>
    <r>
      <rPr>
        <u/>
        <sz val="9"/>
        <color rgb="FFFF0000"/>
        <rFont val="Arial"/>
        <family val="2"/>
      </rPr>
      <t>AGT/16</t>
    </r>
    <r>
      <rPr>
        <sz val="9"/>
        <color rgb="FFFF0000"/>
        <rFont val="Arial"/>
        <family val="2"/>
      </rPr>
      <t>: Avanza ejecución contrato de outsourcing.
Contratos del mantenimiento preventivo sistema de recepción satelital, adquisición solución convergente para el Datacenter.
Evidencia:
\\cona\grpdata$\Informatica\General\Precontractual. Avance 99%.</t>
    </r>
  </si>
  <si>
    <r>
      <rPr>
        <u/>
        <sz val="9"/>
        <color theme="1"/>
        <rFont val="Arial"/>
        <family val="2"/>
      </rPr>
      <t>JUN/16</t>
    </r>
    <r>
      <rPr>
        <sz val="9"/>
        <color theme="1"/>
        <rFont val="Arial"/>
        <family val="2"/>
      </rPr>
      <t xml:space="preserve">:1. Proceso de levantamiento de requerimientos e inicio de documento técnico para adquisición de software. 2. Soporte de operación y administración de los sistemas SSHM, Hydras y CNE. Evidencias: Carta de ofrecimiento ESRI y borrador de Anexo técnico para estudio de mercado.Tickets de mesa de servicio, relación de seguimiento diario. </t>
    </r>
    <r>
      <rPr>
        <sz val="9"/>
        <color rgb="FFFF0000"/>
        <rFont val="Arial"/>
        <family val="2"/>
      </rPr>
      <t>Avance 57%.</t>
    </r>
    <r>
      <rPr>
        <sz val="9"/>
        <color theme="1"/>
        <rFont val="Arial"/>
        <family val="2"/>
      </rPr>
      <t xml:space="preserve">
</t>
    </r>
    <r>
      <rPr>
        <u/>
        <sz val="9"/>
        <color rgb="FFFF0000"/>
        <rFont val="Arial"/>
        <family val="2"/>
      </rPr>
      <t>AGT/16</t>
    </r>
    <r>
      <rPr>
        <sz val="9"/>
        <color rgb="FFFF0000"/>
        <rFont val="Arial"/>
        <family val="2"/>
      </rPr>
      <t>: 1. Proceso de levantamiento de requerimientos, trámite de vigencia futura y primera versión del documento técnico para adquisición de software. 2. Soporte de operación y administración de los sistemas SSHM, Hydras y CNE. Evidencias: Actas y listas de asistencia a reuniones, memorandos y demás documentos técnicos. tickets de mesa de servicio, matrices de reportes de incidentes SSHM y CNE. Avance 67%.</t>
    </r>
  </si>
  <si>
    <r>
      <rPr>
        <u/>
        <sz val="9"/>
        <color theme="1"/>
        <rFont val="Arial"/>
        <family val="2"/>
      </rPr>
      <t>JUN/16</t>
    </r>
    <r>
      <rPr>
        <sz val="9"/>
        <color theme="1"/>
        <rFont val="Arial"/>
        <family val="2"/>
      </rPr>
      <t xml:space="preserve">: 1. Se realizó capacitación en el mes de junio del módulo de comisiones. 2. Se inició la etapa de pruebas de usuario para las cuál fue designada como líder temático la funcionaria Luz Yadira Páez del grupo de contabilidad, la oficina de informática propuso un plan de trabajo para las pruebas de usuario el cuál ha sido liderado por la líder designada. 3. Se realizaron ajustes de las incidencias reportadas producto de las pruebas.Evidencias:X:\Informatica\General\Comisiones\capacitación\asistencias junio2016.pdf.X:\Informatica\General\Comisiones\incidencias\Final Consolidado Incidencias - Flujo General con anticipo y sin anticipo.xlsx. </t>
    </r>
    <r>
      <rPr>
        <sz val="9"/>
        <color rgb="FFFF0000"/>
        <rFont val="Arial"/>
        <family val="2"/>
      </rPr>
      <t>Avance 72%.</t>
    </r>
    <r>
      <rPr>
        <sz val="9"/>
        <color theme="1"/>
        <rFont val="Arial"/>
        <family val="2"/>
      </rPr>
      <t xml:space="preserve">
</t>
    </r>
    <r>
      <rPr>
        <u/>
        <sz val="9"/>
        <color rgb="FFFF0000"/>
        <rFont val="Arial"/>
        <family val="2"/>
      </rPr>
      <t>AGT/16</t>
    </r>
    <r>
      <rPr>
        <sz val="9"/>
        <color rgb="FFFF0000"/>
        <rFont val="Arial"/>
        <family val="2"/>
      </rPr>
      <t>: 1. Se realizó el informe consolidado de las pruebas y se envío correo, solicitando reunión para establecer lineamientos a seguir. 2. Se realizó alistamiento para ambiente de producción.Evidencias: X:\Informatica\General\Comisiones\Producción;X:\Informatica\General\Comisiones\pruebas\RESULTADO PRUEBAS DE USUARIO.docx.4.Mantenimiento evolutivo al aplicativo ORFEO según requerimientos de la Of. de Atención al Ciudadano (en pruebas). 5. Mantenimiento Suite Version Empresarial (contrato de soporte y mantenimiento por un año). Avance 81,5%.1.</t>
    </r>
  </si>
  <si>
    <t>Las actividades se han concentrado en garantizar la disponibilidad de la infraestructura tecnológica de la Entidad, con el sostenimiento de la operaciòn del sistema.
Se inició operación con el aire acondicionado de contingencia para el data center y la contratación y reparación de la UPS circuito 2 del data center.</t>
  </si>
  <si>
    <r>
      <rPr>
        <u/>
        <sz val="9"/>
        <color theme="1"/>
        <rFont val="Arial"/>
        <family val="2"/>
      </rPr>
      <t>JUN/16:</t>
    </r>
    <r>
      <rPr>
        <sz val="9"/>
        <color theme="1"/>
        <rFont val="Arial"/>
        <family val="2"/>
      </rPr>
      <t xml:space="preserve"> 1. Radicación de proceso contractual Consultoría para la adopción e implementación del marco de referencia de la arquitectura TI. 2. Participación en mesa sectorial de GEL el 16 de mayo. Evidencias: Radicado ORFEO 20161040002133 del 17/06/2016X:\Informatica\Evaluación GEL\Comite Sectorial 2016. </t>
    </r>
    <r>
      <rPr>
        <sz val="9"/>
        <color rgb="FFFF0000"/>
        <rFont val="Arial"/>
        <family val="2"/>
      </rPr>
      <t>Avance 52%</t>
    </r>
    <r>
      <rPr>
        <sz val="9"/>
        <color theme="1"/>
        <rFont val="Arial"/>
        <family val="2"/>
      </rPr>
      <t xml:space="preserve">.
</t>
    </r>
    <r>
      <rPr>
        <u/>
        <sz val="9"/>
        <color rgb="FFFF0000"/>
        <rFont val="Arial"/>
        <family val="2"/>
      </rPr>
      <t>AGT/16</t>
    </r>
    <r>
      <rPr>
        <sz val="9"/>
        <color rgb="FFFF0000"/>
        <rFont val="Arial"/>
        <family val="2"/>
      </rPr>
      <t>: 1. Ajustes estudios Previos Consultoría para la adopción e implementación del marco de referencia de la arquitectura TI. publicación de pliegos, recepción y evaluación de propuestas. 2. Asistencia talleres virtuales (nueva pagina de datos abiertos). Evidencias: Correos electrónicos y Estudios previos, proceso y  adendas publicados en SECOP. Avance 72%.</t>
    </r>
  </si>
  <si>
    <r>
      <rPr>
        <u/>
        <sz val="9"/>
        <color theme="1"/>
        <rFont val="Arial"/>
        <family val="2"/>
      </rPr>
      <t>JUN/16</t>
    </r>
    <r>
      <rPr>
        <sz val="9"/>
        <color theme="1"/>
        <rFont val="Arial"/>
        <family val="2"/>
      </rPr>
      <t xml:space="preserve">: </t>
    </r>
    <r>
      <rPr>
        <sz val="9"/>
        <rFont val="Arial"/>
        <family val="2"/>
      </rPr>
      <t xml:space="preserve">1. Actualizacion plan de seguridad de la información.2. Procedimiento acceso a servicios de informaciòn. 3. Proceso de contratación para marco de referencia Modelos de Seguridad y Privacidad de la Información, Decreto 1078 para el proceso de Centro de Datos Alternos para DRP (Plan de recuperacion de desastres). 4. Participaciòn en mesas sectoriales para la seguridad de la informacion en sistemas criticos. 5. Participaciòn para mesas sectoriales MSPI -  IDEAM - MADS - MinTIC. 6. Documento del Sector Estrategico Evidencias: http://goo.gl/TWSnEg http://goo.gl/eqVge9 \\cona\grpdata$\Informatica\General\Precontractual2016\28_DataCenter_Alterno\1.Precontractual\Data full \\cona\grpdata$\Informatica\General\SEGURIDAD\Seguridad 2016\Total General\Sistemas Criticos\Galeria \\cona\grpdata$\Informatica\General\SEGURIDAD\Seguridad 2016\Total General\MINTIC\Galeria MADS
\\cona\grpdata$\Informatica\General\SEGURIDAD\Seguridad 2016\Total General\Infraestruturas Criticas\Sectores Estrategicos Colombia-Revisión MADS V6.docx. </t>
    </r>
    <r>
      <rPr>
        <sz val="9"/>
        <color rgb="FFFF0000"/>
        <rFont val="Arial"/>
        <family val="2"/>
      </rPr>
      <t>Avance 50%.</t>
    </r>
    <r>
      <rPr>
        <u/>
        <sz val="9"/>
        <color theme="1"/>
        <rFont val="Arial"/>
        <family val="2"/>
      </rPr>
      <t xml:space="preserve">
</t>
    </r>
    <r>
      <rPr>
        <u/>
        <sz val="9"/>
        <color rgb="FFFF0000"/>
        <rFont val="Arial"/>
        <family val="2"/>
      </rPr>
      <t>AGT/16</t>
    </r>
    <r>
      <rPr>
        <sz val="9"/>
        <color rgb="FFFF0000"/>
        <rFont val="Arial"/>
        <family val="2"/>
      </rPr>
      <t>: 1. Actualizacion documental en cumplimiento con lo requerido por el Modelo MSPI - En espera de oficialización - Indicadores de Gestion - Normograma de Seguridad - Organización de Seguridad (Roles y responsabilidades) - Reglamento interno de seguridad de la información - Acuerdo de Uso de los Activos de Información - Compromiso del manejo de la informacion IDEAM - Estrategias Implementacion CDA - Glosario seguridad de la información. Evidencias:\\cona\grpdata$\Informatica\General\SEGURIDAD\Seguridad 2016\Total General\Documentos Insumo 27001\DocumentosGeneral\Pendientes por Oficializar. 2. Proceso Contractual Migracion IPV4 - IPV6 - Reuniones con proveedores -Metrotel -Yeapdata - ETB -CIntel -Renata - Actualmente la parte juridica se encuetra validando cual será la modalidad de contratación. Evidencia:\\cona\grpdata$\Informatica\General\Precontractual2016\29_IPv4_IPv6. 3. Participacion en mesas sectoriales para la seguridad de la informacion en sistemas criticos (ciberseguridad-ciberdefensa). Evidencia:
\\cona\grpdata$\Informatica\General\SEGURIDAD\Seguridad 2016\Total General\Infraestruturas Criticas. Avance 75%.</t>
    </r>
  </si>
  <si>
    <t>Se describen las tareas o gestiones adelantadas para el cumplimiento de la meta.</t>
  </si>
  <si>
    <t>OBSERVACIONES OCI (1)</t>
  </si>
  <si>
    <t xml:space="preserve">Desarrollan el mantenimiento de aplicativos en las àreas misionales (SISAIRE, SIRH, SNIF, SIUR, SSHM, CNE, Hydras).
Se realizò el soporte de operación y administración de los sistemas SSHM, Hydras y CNE.
Adelantan el proceso de los servicios Web para interoperabilidad con VITAL.
Adicionalmente, se adelanta el proceso de levantamiento de requerimientos e inicio de documento técnico para adquisición de software que integre todos los aplicativos. </t>
  </si>
  <si>
    <t>No presenta ejecuciòn de recursos a la fecha.
Actualmente se surte el proceso de evaluación de propuestas en la Oficina Asesora Jurídica para contratar la consultoría para la adopción e implementación del marco de referencia de la arquitectura TI de Colombia.</t>
  </si>
  <si>
    <t xml:space="preserve">Las actividades relacionadas deben estar direccionadas con el cumplimiento de cada una de las fases implementadas en el manual GEL.
Dada la etapa del proceso de contrataciòn en que se encuentra, se debe revaluar la pertinencia y cumplimiento de un eventual contrato para la entrega oportuna de los productos o servicios.
</t>
  </si>
  <si>
    <t>El avance (99%) se registra porque los servicios de operaciòn no han sobrepasado el tiempo de interrupciòn que se tiene estimado durante la vigencia, por lo que estiman que se ha cumplido con la meta. Sin embargo no se dispone de datos consolidados de interrupciòn y por consiguiente la consideraciòn sobre el cumplimiento efectivo de la meta, es una apreciaciòn respetable pero que presenta difìcultad para su confrontaciòn.
Se presenta igualmente, falta de claridad en la determinaciòn o identificaciòn de la actividad, formulaciòn de indicadores y metas.
Con relaciòn a la ejecuciòn de recursos se presenta una adiciòn en agosto 2016 de $2.369`276.768, direccionados al servicio de soporte, administraciòn y operaciòn de la plataforma tecnológica del IDEAM (Contrato 312 de 2015), al igual que al de prestar el servicio de conexión y acceso a internet mediante canales dedicados para el IDEAM (Contrato 036 de 2015).
Se registran a la fecha 21 contratos relacionados con esta actividad.
Dados los valores y significado de la operaciòn, se sugiere el seguimiento pormenorizado de los contratos, con el objeto de concretar el cumplimiento del presupuesto ejecutado, entendiendo que se refiere a compromisos, para determinar el cabal recibo de los bienes o servicios y de esta manera considerarlos como obligaciones.</t>
  </si>
  <si>
    <r>
      <rPr>
        <u/>
        <sz val="10"/>
        <color theme="1"/>
        <rFont val="Arial"/>
        <family val="2"/>
      </rPr>
      <t>JUN/16</t>
    </r>
    <r>
      <rPr>
        <sz val="10"/>
        <color theme="1"/>
        <rFont val="Arial"/>
        <family val="2"/>
      </rPr>
      <t xml:space="preserve">: Se ha analizado situación del nodo CAR Cundinamarca para optimizar su funcionamiento. </t>
    </r>
    <r>
      <rPr>
        <sz val="10"/>
        <color rgb="FFFF0000"/>
        <rFont val="Arial"/>
        <family val="2"/>
      </rPr>
      <t>Avance 30%.</t>
    </r>
    <r>
      <rPr>
        <u/>
        <sz val="10"/>
        <color rgb="FFFF0000"/>
        <rFont val="Arial"/>
        <family val="2"/>
      </rPr>
      <t xml:space="preserve">
AGT/16</t>
    </r>
    <r>
      <rPr>
        <sz val="10"/>
        <color rgb="FFFF0000"/>
        <rFont val="Arial"/>
        <family val="2"/>
      </rPr>
      <t>: Durante 2015 se instalaron los siguientes nodos: CORPOGUAVIO, CODECHOCÓ, CORALINA, CORPOAMAZONIA, CARSUCRE, CORMACARENA, CORPORINOQUIA Y CDA. En 2016 se reacitvò nodo de CAR a solicitud de la entidad. Actualmente se cuenta con 16 nodos operando, se cumplió la meta de implementación de nodos, las actividades y recursos en 2016 se orientan a la operación de los nodos y mejoramiento de la operación del SIRH. Se realizó contratación de personal para desarrollo de actividades. Para monitorear el funcionamiento de los nodos se genera informe semanal de estado de operación de nodos. Se inició proceso de sincronización de datos pendientes. Para este efecto se cuenta con los siguientes contratos: 089 (lider técnico, soporte y mantenimiento del SIRH),  227 (sincronización datos de nodos), 231 (cargue masivo desde excel y serv. web),  221 (disponibilidad de nodos), 223 (mejoras a usabilidad y reportes). Avance 100%.</t>
    </r>
  </si>
  <si>
    <r>
      <rPr>
        <u/>
        <sz val="10"/>
        <color theme="1"/>
        <rFont val="Arial"/>
        <family val="2"/>
      </rPr>
      <t>JUN/16</t>
    </r>
    <r>
      <rPr>
        <sz val="10"/>
        <color theme="1"/>
        <rFont val="Arial"/>
        <family val="2"/>
      </rPr>
      <t xml:space="preserve">: Se han realizado talleres de Capacitación (taller CRA - Barranquilla, se realizó taller regional en Bogota (9/10 de junio) y en Cali (23/24 de junio). </t>
    </r>
    <r>
      <rPr>
        <sz val="10"/>
        <color rgb="FFFF0000"/>
        <rFont val="Arial"/>
        <family val="2"/>
      </rPr>
      <t xml:space="preserve">Avance 80%.
</t>
    </r>
    <r>
      <rPr>
        <u/>
        <sz val="10"/>
        <color rgb="FFFF0000"/>
        <rFont val="Arial"/>
        <family val="2"/>
      </rPr>
      <t>AGT/16</t>
    </r>
    <r>
      <rPr>
        <sz val="10"/>
        <color rgb="FFFF0000"/>
        <rFont val="Arial"/>
        <family val="2"/>
      </rPr>
      <t>: Se han realizado talleres de Capacitación (taller CRA - Barranquilla, se realizó taller regional en Bogota (9/10 de junio)  y en Cali (23/24 de junio). El quinto taller se realizó en julio en AMVA -  Medellín. Se adjuntan listas de asistencia y soportes disponibles de talleres. Avance 100%.</t>
    </r>
  </si>
  <si>
    <r>
      <rPr>
        <u/>
        <sz val="10"/>
        <color theme="1"/>
        <rFont val="Arial"/>
        <family val="2"/>
      </rPr>
      <t>JUN/16</t>
    </r>
    <r>
      <rPr>
        <sz val="10"/>
        <color theme="1"/>
        <rFont val="Arial"/>
        <family val="2"/>
      </rPr>
      <t xml:space="preserve">: Se mejoró el analisis de requerimientos para la definición de los productos y actividades requeridas, que incluye los elementos de investigación en el marco misional del IDEAM. </t>
    </r>
    <r>
      <rPr>
        <sz val="10"/>
        <color rgb="FFFF0000"/>
        <rFont val="Arial"/>
        <family val="2"/>
      </rPr>
      <t xml:space="preserve">Avance 15%.
</t>
    </r>
    <r>
      <rPr>
        <u/>
        <sz val="10"/>
        <color rgb="FFFF0000"/>
        <rFont val="Arial"/>
        <family val="2"/>
      </rPr>
      <t>AGT/16</t>
    </r>
    <r>
      <rPr>
        <sz val="10"/>
        <color rgb="FFFF0000"/>
        <rFont val="Arial"/>
        <family val="2"/>
      </rPr>
      <t>: Como avance al documento final: Se consolidó cuadro que incluye los elementos de investigación en el marco misional del IDEAM. Se elaboró protocolo para documentos de carácter científico. En el marco del contrato 205 de 2016. Se anexa como soporte el primer informe de este contrato que contiene los avances descritos. Avance 25%.</t>
    </r>
  </si>
  <si>
    <t>Los 4 mapas son:
1.Mapa nacional de cobertura boscosa.
2.Mapa de cambio de la cobertura boscosa.
3. Dos mapas alertas nacionales de deforestación (Semestral).
MinAmbiente indica al IDEAM que solicitò ajuste del indicador al DNP (Of 17/JUN/16 - sin respuesta del DNP).
Con relaciòn a los 4 mapas, se dispone de versiòn preliminar de un estudio de la deforestaciòn en 2015 como insumo para elaborar el mapa de cambio de cobertura bosque 2014-2015 (resoluciòn media escala 1:100,000).
Con relaciòn a los 2 mapas de alertas tempranas se elaborò el del I y II trimestre de 2016, que corresponde al mapa de la primera alerta 2016.
Indican un avance del 70%.</t>
  </si>
  <si>
    <t>MAPAS 50%
RECURSOS 66%</t>
  </si>
  <si>
    <t>PRODUCTOS 167%
RECURSOS 96%</t>
  </si>
  <si>
    <t>En primera intancia se define la elaboraciòn de la version 2 del Cubo de Datos que corresponde a la meta planteada en el PLAN INDICATIVO CUATRIENAL 2015-2018 -IDEAM, para 2016.
Para la actividad POA2016, se definen 4 productos, que corresponden a 2 subproductos por cada uno de los 2 elementos identificados: a) el cubo de datos y b) un mapa de ecosistemas.
Con relaciòn al Cubo de datos, se descargan imágenes Landsat 7 para toda la cobertura nacional  de los años  2006 - 2014, asì como se han ingestado al cubo imágenes para los años 2003 - 2004 y se continùa con las pruebas en la versión 2.0 del cubo de datos.
Sobre el Mapa de Ecosistemas, se dividiò el shape en cinco áreas hidrográficas del país, se adelanta la base de ecosistemas acuáticos de ambientes lóticos y lénticos, para la versión 1.0 del mapa. Se generaron los Biomas generales y preliminares del mapa de ecosistemas versión 2.0. Dado que INVEMAR no cuenta con información actualizada de los ecosistemas marinos, se adelantaràn los ecosistemas continentales. Se cuenta con el resultado preliminar de los ecosistemas por área hidrográfica. Los avances se pueden consultar en: D:\VANESSA_MONTAÑEZ\VANESSA2016\MAPA_ECOSISTEMAS_1_100000_V2.0\MAPA\RESULTADOS.
Avance del 60%.</t>
  </si>
  <si>
    <t>PRODUCTOS 60%
RECURSOS 78%</t>
  </si>
  <si>
    <t>La meta del POA 2016 - PROYECTO DE INVERSIÓN no es consistente con lo consignado en el PLAN INDICATIVO CUATRIENAL 2015-2018 -IDEAM, cuya meta para 2016 es 1. La anterior falta de claridad en la formulaciòn de la "Actividad POA 2015" (2016), genera confusiòn al confrontarlos con los 4 productos del cuatrienio y se puede interpretar que en 2016 se adelantaràn 3 documentos del total.
Aunque el avance (65%) se registra alineado con las gestiones y actividades desarrolladas para lograr la "Meta Actividad", se debe revisar y registrar conforme a lo establecido en el "Indicador Actividad", por lo que al tener en cuenta los documentos relacionados, no hay consistencia con dicho avance, ya que se observa que se dispone de màs documentos de los propuestos. Al entender que los "productos temàticos generados" son elementos para alcanzar la "Línea base de degradación de suelos", se presenta la situaciòn de haber subestimado lo proyectado, lo que conlleva a revisar el proceso previo de planeaciòn, tanto para la definiciòn de actividades a desarrollar durante la vigencia como para la identificaciòn consistente de metas y sus correspondientes indicadores. Se sugiere revisar con la Oficina Asesora de Planeaciòn la pertinencia de los ajustes
Con relaciòn a la ejecuciòn de recursos se debe definir la ejecuciòn de un contrato por $30`000.000 que se tiene previsto o de lo contrario, informar con oportunidad a la instancia correspondiente para la dispocisiòn de dichos recursos. Al tener considerado en el PLAN INDICATIVO CUATRIENAL 2015-2018 -IDEAM como producto final el "Programa para pronòstico de amenaza por deslizamientos", se debe asegurar que las acciones estèn alineadas con èste propòsito. Se presenta un 96% de ejecuciòn.</t>
  </si>
  <si>
    <t>Los documentos identificados corresponden a: 
1) Hoja metodològica de baterìa de indicadores. 
2) Material divulgativo y de informaciòn asociados al portal SIAC, como boletines, afiches y videos. 
3) Documentos de estandarizaciòn de intercambio de datos (estàndares de mapas).
Se han elaborado los documentos: Lineamientos para la generación y mantenimiento de sistemas de información ambiental, asociados al SIAC y el de Lineamientos y mecanismos para la disposición oportuna y eficiente de la información geográfica al Geovisor del SIAC.
Los boletines SIAC hasta agosto.
Elaboración de un afiche divulgativo general sobre los subsistemas del SIAC y uno particular sobre el subsistema Registro Único Ambiental. Adicional a un material multimedia sobre servicios de información en el SIAC.
Avance 50%.</t>
  </si>
  <si>
    <r>
      <rPr>
        <u/>
        <sz val="9"/>
        <color theme="1"/>
        <rFont val="Arial"/>
        <family val="2"/>
      </rPr>
      <t>JUN/16</t>
    </r>
    <r>
      <rPr>
        <sz val="9"/>
        <color theme="1"/>
        <rFont val="Arial"/>
        <family val="2"/>
      </rPr>
      <t xml:space="preserve">: Verificación y validación de aforos líquidos, aforos sólidos, perfiles transversales y consolidación de las Curvas de Gasto para generación de caudales. Avance en la Verificación de los registros de Niveles a partir de las observaciones de Limnímetro (LM), Limnígrafo (LG) y registrados automáticos de niveles-sensores sónicos (RAN) de todas las estaciones de la Red Básica Nacional. </t>
    </r>
    <r>
      <rPr>
        <sz val="9"/>
        <color rgb="FFFF0000"/>
        <rFont val="Arial"/>
        <family val="2"/>
      </rPr>
      <t xml:space="preserve">Avance 35%.
</t>
    </r>
    <r>
      <rPr>
        <u/>
        <sz val="9"/>
        <color rgb="FFFF0000"/>
        <rFont val="Arial"/>
        <family val="2"/>
      </rPr>
      <t>AGT/16</t>
    </r>
    <r>
      <rPr>
        <sz val="9"/>
        <color rgb="FFFF0000"/>
        <rFont val="Arial"/>
        <family val="2"/>
      </rPr>
      <t>: La actualización de la información se está desarrollando a través de contratos de prestación de servicios: 088 de 2016 y 090 de 2016. La actualización de las curvas IDF (actividad que no se realiza anualmente) se está desarrollando a partir de contrato 113 de 2016 con Universidad Nacional Sede Bogotá. No registra avance del perìodo ni acumulado. (Conserva 35%).</t>
    </r>
  </si>
  <si>
    <r>
      <rPr>
        <u/>
        <sz val="9"/>
        <color theme="1"/>
        <rFont val="Arial"/>
        <family val="2"/>
      </rPr>
      <t>JUN/16</t>
    </r>
    <r>
      <rPr>
        <sz val="9"/>
        <color theme="1"/>
        <rFont val="Arial"/>
        <family val="2"/>
      </rPr>
      <t xml:space="preserve">: Entrega primer informe: "Cronograma, primera reunion técnica, criterios y selección de subzona hidrográfica de la Orinoquía" (orfeo 20169910056762) y complementaciones solicitadas por el IDEAM a dicho informe (orfeo 20169910069132). IDEAM aportó todos los insumos, datos e informacion disponible ( orfeo 20163000001291). </t>
    </r>
    <r>
      <rPr>
        <sz val="9"/>
        <color rgb="FFFF0000"/>
        <rFont val="Arial"/>
        <family val="2"/>
      </rPr>
      <t xml:space="preserve">Avance 45%.
</t>
    </r>
    <r>
      <rPr>
        <u/>
        <sz val="9"/>
        <color rgb="FFFF0000"/>
        <rFont val="Arial"/>
        <family val="2"/>
      </rPr>
      <t>AGT/16</t>
    </r>
    <r>
      <rPr>
        <sz val="9"/>
        <color rgb="FFFF0000"/>
        <rFont val="Arial"/>
        <family val="2"/>
      </rPr>
      <t>: El Documento se está elaborando como producto del contrato 112 de 2016 con la Universidad Nacional. Avances reportados. Reunión Técnica Grupo IDEAM-UNAL MANIZALEZ socialización avances, discusión metodologias a utilizar para la modelación de los sedimentos en la subzona de la Orinoquía y concertación de contenidos del documento “Erosión, transporte y Depósito de sedimentos a nivel de cuenca como una herramienta para la gestión. Entrega Informe 2: Avances en los documentos formulación proyecto ”Erosión, transporte y Depósito de sedimentos a nivel de cuenca como una herramienta para la gestión” y “Aspectos técnicos de la modelación hidrosedimentológica en una zona hidrográfica de la Orinoquia”. Orfeos 20169910069132 y 20169910104092 del expediente 201610202720600001E. Avance 60%.</t>
    </r>
  </si>
  <si>
    <r>
      <rPr>
        <u/>
        <sz val="9"/>
        <color theme="1"/>
        <rFont val="Arial"/>
        <family val="2"/>
      </rPr>
      <t>JUN/16</t>
    </r>
    <r>
      <rPr>
        <sz val="9"/>
        <color theme="1"/>
        <rFont val="Arial"/>
        <family val="2"/>
      </rPr>
      <t xml:space="preserve">: Se realizó revisión y selección de metodologías, ejercicio cuantitativo preliminar y socialización. Se realizó la identificación de información disponible para el cálculo de la recarga. </t>
    </r>
    <r>
      <rPr>
        <sz val="9"/>
        <color rgb="FFFF0000"/>
        <rFont val="Arial"/>
        <family val="2"/>
      </rPr>
      <t>Avance 30%.</t>
    </r>
    <r>
      <rPr>
        <sz val="9"/>
        <color theme="1"/>
        <rFont val="Arial"/>
        <family val="2"/>
      </rPr>
      <t xml:space="preserve">
</t>
    </r>
    <r>
      <rPr>
        <u/>
        <sz val="9"/>
        <color rgb="FFFF0000"/>
        <rFont val="Arial"/>
        <family val="2"/>
      </rPr>
      <t>AGT/16</t>
    </r>
    <r>
      <rPr>
        <sz val="9"/>
        <color rgb="FFFF0000"/>
        <rFont val="Arial"/>
        <family val="2"/>
      </rPr>
      <t>:Se adelantó el concurso de méritos No. 01 de 2016 participando en las funciones del comité evaluador en el componente tecnico dando respuesta a las observaciones y aportando la evaluación tecnica. Dicho concurso esta publicado en el SECOP en el siguiente link: ttps://www.contratos.gov.co/consultas/detalleProceso.do?numConstancia=16-15-5325533. El contrato que resulte del concurso de méritos contribuirá con LA ELABORACIÓN DE LA GUÍA METODOLÓGICA PARA LA IDENTIFICACIÓN Y DELIMITACIÓN DE ZONAS DE RECARGA DE SISTEMAS ACUÍFEROS. Avance 35%.</t>
    </r>
  </si>
  <si>
    <r>
      <rPr>
        <u/>
        <sz val="9"/>
        <color theme="1"/>
        <rFont val="Arial"/>
        <family val="2"/>
      </rPr>
      <t>JUN/16</t>
    </r>
    <r>
      <rPr>
        <sz val="9"/>
        <color theme="1"/>
        <rFont val="Arial"/>
        <family val="2"/>
      </rPr>
      <t xml:space="preserve">: Se generó concurso de méritos para la contratación de la actividad. </t>
    </r>
    <r>
      <rPr>
        <sz val="9"/>
        <color rgb="FFFF0000"/>
        <rFont val="Arial"/>
        <family val="2"/>
      </rPr>
      <t xml:space="preserve">Avance 10%.
</t>
    </r>
    <r>
      <rPr>
        <u/>
        <sz val="9"/>
        <color rgb="FFFF0000"/>
        <rFont val="Arial"/>
        <family val="2"/>
      </rPr>
      <t>AGT/16</t>
    </r>
    <r>
      <rPr>
        <sz val="9"/>
        <color rgb="FFFF0000"/>
        <rFont val="Arial"/>
        <family val="2"/>
      </rPr>
      <t>: Se adelantó el concurso de méritos No. 01 de 2016 participando en las funciones del comité evaluador en el componente tecnico dando respuesta a las observaciones y aportando la evaluación tecnica. Dicho concurso esta publicado en el SECOP en el siguiente link: ttps://www.contratos.gov.co/consultas/detalleProceso.do?numConstancia=16-15-5325533. El contrato que resulte del concurso de méritos contribuirá con ADELANTAR ACTIVIDADES PARA LA IMPLEMENTACIÓN DEL PROGRAMA NACIONAL DE MONITOREO DEL RECURSO HÍDRICO EN SU COMPONENTE DE AGUA SUBTERRÁNEA EN RELACIÓN CON EL INVENTARIO DE PUNTOS DE AGUAS SUBTERRÁNEAS EN PUERTO GAITÁN, META. Avance 15%.</t>
    </r>
  </si>
  <si>
    <r>
      <rPr>
        <u/>
        <sz val="9"/>
        <color theme="1"/>
        <rFont val="Arial"/>
        <family val="2"/>
      </rPr>
      <t>JUN/16</t>
    </r>
    <r>
      <rPr>
        <sz val="9"/>
        <color theme="1"/>
        <rFont val="Arial"/>
        <family val="2"/>
      </rPr>
      <t xml:space="preserve">: Se realizó documento con análisis inicial de contexto, marco normativo y orientación para planear un sistema de Alerta Temprana por Calidad (capítulo de informe contrato 106 de 2016. </t>
    </r>
    <r>
      <rPr>
        <sz val="9"/>
        <color rgb="FFFF0000"/>
        <rFont val="Arial"/>
        <family val="2"/>
      </rPr>
      <t xml:space="preserve">Avance 52%.
</t>
    </r>
    <r>
      <rPr>
        <u/>
        <sz val="9"/>
        <color rgb="FFFF0000"/>
        <rFont val="Arial"/>
        <family val="2"/>
      </rPr>
      <t>AGT/16</t>
    </r>
    <r>
      <rPr>
        <sz val="9"/>
        <color rgb="FFFF0000"/>
        <rFont val="Arial"/>
        <family val="2"/>
      </rPr>
      <t>: Está en revisión interna la primera versión del documento generado. Este documento inicial se elaboró en el marco del contrato 106 de 2016. No se considerò avance para el perìodo (Conserva avance 52%).</t>
    </r>
  </si>
  <si>
    <r>
      <rPr>
        <u/>
        <sz val="9"/>
        <color theme="1"/>
        <rFont val="Arial"/>
        <family val="2"/>
      </rPr>
      <t>JUN/16</t>
    </r>
    <r>
      <rPr>
        <sz val="9"/>
        <color theme="1"/>
        <rFont val="Arial"/>
        <family val="2"/>
      </rPr>
      <t xml:space="preserve">: Se analizó parte de la información de calidad de 2015 y se realizó documento con esta información. Se está haciendo el análisis de las muestras de bioindicación. </t>
    </r>
    <r>
      <rPr>
        <sz val="9"/>
        <color rgb="FFFF0000"/>
        <rFont val="Arial"/>
        <family val="2"/>
      </rPr>
      <t xml:space="preserve">Avance 50%.
</t>
    </r>
    <r>
      <rPr>
        <u/>
        <sz val="9"/>
        <color rgb="FFFF0000"/>
        <rFont val="Arial"/>
        <family val="2"/>
      </rPr>
      <t>AGT/16</t>
    </r>
    <r>
      <rPr>
        <sz val="9"/>
        <color rgb="FFFF0000"/>
        <rFont val="Arial"/>
        <family val="2"/>
      </rPr>
      <t>: Se cumplió con el 50% que corresponde a uno de los documentos (esta parte corresponde al contrato 106 de 2016),  quedando pendiente la parte de bioindicación que está a cargo del grupo de Laboratorio de Calidad (el porcentaje de avance está en proporción del volumen de muestras de fisico - química respecto al de bioindicación). No se considerò avance para el perìodo (Conserva avance 50%).</t>
    </r>
  </si>
  <si>
    <r>
      <rPr>
        <u/>
        <sz val="9"/>
        <color theme="1"/>
        <rFont val="Arial"/>
        <family val="2"/>
      </rPr>
      <t>JUN/16</t>
    </r>
    <r>
      <rPr>
        <sz val="9"/>
        <color theme="1"/>
        <rFont val="Arial"/>
        <family val="2"/>
      </rPr>
      <t xml:space="preserve">: Se analizó parte de la información de calidad de 2015 y se realizó documento con esta información. </t>
    </r>
    <r>
      <rPr>
        <sz val="9"/>
        <color rgb="FFFF0000"/>
        <rFont val="Arial"/>
        <family val="2"/>
      </rPr>
      <t xml:space="preserve">Avance 80%.
</t>
    </r>
    <r>
      <rPr>
        <u/>
        <sz val="9"/>
        <color rgb="FFFF0000"/>
        <rFont val="Arial"/>
        <family val="2"/>
      </rPr>
      <t>AGT/16</t>
    </r>
    <r>
      <rPr>
        <sz val="9"/>
        <color rgb="FFFF0000"/>
        <rFont val="Arial"/>
        <family val="2"/>
      </rPr>
      <t>: Con el avance realizado (esta parte corresponde al contrato 106 de 2016), quedando pendiente la parte de bioindicación que está a cargo del grupo de Laboratorio de Calidad (el porcentaje de avance está en proporción del volumen de muestras de fisico - química respecto al de bioindicación). No se considerò avance para el perìodo (Conserva avance 80%).</t>
    </r>
  </si>
  <si>
    <r>
      <rPr>
        <u/>
        <sz val="9"/>
        <color theme="1"/>
        <rFont val="Arial"/>
        <family val="2"/>
      </rPr>
      <t>JUN/16</t>
    </r>
    <r>
      <rPr>
        <sz val="9"/>
        <color theme="1"/>
        <rFont val="Arial"/>
        <family val="2"/>
      </rPr>
      <t xml:space="preserve">: Se trabaja en procesamiento preliminar de la información disponible. </t>
    </r>
    <r>
      <rPr>
        <sz val="9"/>
        <color rgb="FFFF0000"/>
        <rFont val="Arial"/>
        <family val="2"/>
      </rPr>
      <t xml:space="preserve">Avance 40%.
</t>
    </r>
    <r>
      <rPr>
        <u/>
        <sz val="9"/>
        <color rgb="FFFF0000"/>
        <rFont val="Arial"/>
        <family val="2"/>
      </rPr>
      <t>AGT/16</t>
    </r>
    <r>
      <rPr>
        <sz val="9"/>
        <color rgb="FFFF0000"/>
        <rFont val="Arial"/>
        <family val="2"/>
      </rPr>
      <t>: A Agosto 31 se dispone de 1 mapa de inundación, de la población de Montelíbano (Córdoba). Avance 50%.</t>
    </r>
  </si>
  <si>
    <r>
      <rPr>
        <u/>
        <sz val="9"/>
        <color theme="1"/>
        <rFont val="Arial"/>
        <family val="2"/>
      </rPr>
      <t>JUN/16</t>
    </r>
    <r>
      <rPr>
        <sz val="9"/>
        <color theme="1"/>
        <rFont val="Arial"/>
        <family val="2"/>
      </rPr>
      <t xml:space="preserve">: Se han compilado elementos de modelación orientada a alertas e inundaciones, como insumo. </t>
    </r>
    <r>
      <rPr>
        <sz val="9"/>
        <color rgb="FFFF0000"/>
        <rFont val="Arial"/>
        <family val="2"/>
      </rPr>
      <t xml:space="preserve">Avance 40%.
</t>
    </r>
    <r>
      <rPr>
        <u/>
        <sz val="9"/>
        <color rgb="FFFF0000"/>
        <rFont val="Arial"/>
        <family val="2"/>
      </rPr>
      <t>AGT/16</t>
    </r>
    <r>
      <rPr>
        <sz val="9"/>
        <color rgb="FFFF0000"/>
        <rFont val="Arial"/>
        <family val="2"/>
      </rPr>
      <t>: No se considerò avance para el perìodo (Conserva 40%).</t>
    </r>
  </si>
  <si>
    <r>
      <rPr>
        <u/>
        <sz val="9"/>
        <color theme="1"/>
        <rFont val="Arial"/>
        <family val="2"/>
      </rPr>
      <t>JUN/16</t>
    </r>
    <r>
      <rPr>
        <sz val="9"/>
        <color theme="1"/>
        <rFont val="Arial"/>
        <family val="2"/>
      </rPr>
      <t xml:space="preserve">: Se avanza en: 1) La esquematizacón de los modelos hidráulicos en la parte baja del Rio Cauca (sector entre la Coquera y las varas). 2) Esquematización del modelo hidrológico de la cuenca Alta del Río San Jorge para su incorporación a FEWS. De manera adicional a la meta establecida se avanza en la actualización del Modelo Hidráulico en el río Magdalena. </t>
    </r>
    <r>
      <rPr>
        <sz val="9"/>
        <color rgb="FFFF0000"/>
        <rFont val="Arial"/>
        <family val="2"/>
      </rPr>
      <t xml:space="preserve">Avance 35%.
</t>
    </r>
    <r>
      <rPr>
        <u/>
        <sz val="9"/>
        <color rgb="FFFF0000"/>
        <rFont val="Arial"/>
        <family val="2"/>
      </rPr>
      <t>AGT/16</t>
    </r>
    <r>
      <rPr>
        <sz val="9"/>
        <color rgb="FFFF0000"/>
        <rFont val="Arial"/>
        <family val="2"/>
      </rPr>
      <t>: Se avanza en: 1) Se configuran en la vesión stand Alone los modelos del río San Jorge (hidrológico e hidraulico), el modelo hidrológico de la Coquera. 2) Se configura el modelo hidráulico entre Salgar y Barrancabermeja luego de su recalibración. Avance 45%.</t>
    </r>
  </si>
  <si>
    <r>
      <rPr>
        <u/>
        <sz val="9"/>
        <color theme="1"/>
        <rFont val="Arial"/>
        <family val="2"/>
      </rPr>
      <t>JUN/16</t>
    </r>
    <r>
      <rPr>
        <sz val="9"/>
        <color theme="1"/>
        <rFont val="Arial"/>
        <family val="2"/>
      </rPr>
      <t xml:space="preserve">: Se avanzó en el procesamiento de la información disponible para Ayapel, San Marcos, Caimito y San Benito. </t>
    </r>
    <r>
      <rPr>
        <sz val="9"/>
        <color rgb="FFFF0000"/>
        <rFont val="Arial"/>
        <family val="2"/>
      </rPr>
      <t xml:space="preserve">Avance 40%.
</t>
    </r>
    <r>
      <rPr>
        <u/>
        <sz val="9"/>
        <color rgb="FFFF0000"/>
        <rFont val="Arial"/>
        <family val="2"/>
      </rPr>
      <t>AGT/16</t>
    </r>
    <r>
      <rPr>
        <sz val="9"/>
        <color rgb="FFFF0000"/>
        <rFont val="Arial"/>
        <family val="2"/>
      </rPr>
      <t>: Se cuenta con mapas de amenaza por inundación para  Ayapel, San Marcos, Caimito y San Benito. Avance 100%.</t>
    </r>
  </si>
  <si>
    <r>
      <rPr>
        <u/>
        <sz val="9"/>
        <color theme="1"/>
        <rFont val="Arial"/>
        <family val="2"/>
      </rPr>
      <t>JUN/16</t>
    </r>
    <r>
      <rPr>
        <sz val="9"/>
        <color theme="1"/>
        <rFont val="Arial"/>
        <family val="2"/>
      </rPr>
      <t xml:space="preserve">: Se realizaron talleres con instituciones y con funcionarios y directivos asociadas a la gestión y evaluación del riesgo. </t>
    </r>
    <r>
      <rPr>
        <sz val="9"/>
        <color rgb="FFFF0000"/>
        <rFont val="Arial"/>
        <family val="2"/>
      </rPr>
      <t xml:space="preserve">Avance 60%.
</t>
    </r>
    <r>
      <rPr>
        <u/>
        <sz val="9"/>
        <color rgb="FFFF0000"/>
        <rFont val="Arial"/>
        <family val="2"/>
      </rPr>
      <t>AGT/16</t>
    </r>
    <r>
      <rPr>
        <sz val="9"/>
        <color rgb="FFFF0000"/>
        <rFont val="Arial"/>
        <family val="2"/>
      </rPr>
      <t>: Se realizaron las reuniones entre el grupo consultor de Deltares (recursos de cooperación Internacional), el contratista nacional para tal fin y las entidades nacionales. El documento final esta en elaboración. Se presenta como soporte del avance el documento preliminar. Los recursos que estaban previstos para esta actividad se redireccionarán. No se considerò avance para el perìodo (Conserva avance 60%).</t>
    </r>
  </si>
  <si>
    <r>
      <rPr>
        <u/>
        <sz val="9"/>
        <color theme="1"/>
        <rFont val="Arial"/>
        <family val="2"/>
      </rPr>
      <t>JUN/16</t>
    </r>
    <r>
      <rPr>
        <sz val="9"/>
        <color theme="1"/>
        <rFont val="Arial"/>
        <family val="2"/>
      </rPr>
      <t xml:space="preserve">: Se realizó ajuste a los términos de la contratación para el desarollo de la actividad. </t>
    </r>
    <r>
      <rPr>
        <sz val="9"/>
        <color rgb="FFFF0000"/>
        <rFont val="Arial"/>
        <family val="2"/>
      </rPr>
      <t xml:space="preserve">Avance 10%.
</t>
    </r>
    <r>
      <rPr>
        <u/>
        <sz val="9"/>
        <color rgb="FFFF0000"/>
        <rFont val="Arial"/>
        <family val="2"/>
      </rPr>
      <t>AGT/16</t>
    </r>
    <r>
      <rPr>
        <sz val="9"/>
        <color rgb="FFFF0000"/>
        <rFont val="Arial"/>
        <family val="2"/>
      </rPr>
      <t>: Se adelanta el contrato 222-2016, busca apoyar la continuación de las actividades de implementación de la red básica nacional de agua subterránea. Durante este periodo se ha avanzado en la definicion de los nuevos puntos donde se requiere la instalación de estaciones Isotopicas (Quibdó, Bahia Solano, Macarena, Cúcuta y Arauca). Se hizo un diagnóstico del estado actual de los convenios y se inició la gestión para suscribir los que están finalizados. Avance 20%.</t>
    </r>
  </si>
  <si>
    <r>
      <rPr>
        <u/>
        <sz val="9"/>
        <color theme="1"/>
        <rFont val="Arial"/>
        <family val="2"/>
      </rPr>
      <t>JUN/16</t>
    </r>
    <r>
      <rPr>
        <sz val="9"/>
        <color theme="1"/>
        <rFont val="Arial"/>
        <family val="2"/>
      </rPr>
      <t xml:space="preserve">: Diagnóstico de los equipos de laboratorio existentes. </t>
    </r>
    <r>
      <rPr>
        <sz val="9"/>
        <color rgb="FFFF0000"/>
        <rFont val="Arial"/>
        <family val="2"/>
      </rPr>
      <t xml:space="preserve">Avance 15%.
</t>
    </r>
    <r>
      <rPr>
        <u/>
        <sz val="9"/>
        <color rgb="FFFF0000"/>
        <rFont val="Arial"/>
        <family val="2"/>
      </rPr>
      <t>AGT/16</t>
    </r>
    <r>
      <rPr>
        <sz val="9"/>
        <color rgb="FFFF0000"/>
        <rFont val="Arial"/>
        <family val="2"/>
      </rPr>
      <t>: Se replanteó el equema de desarrollo del documento que será elaborado por planeación y la Subdirección (no se hará este año contratación). Se propone nuevo alcance (para 2016) de lo cual se avanzó en: Diagnóstico de los equipos de laboratorio existentes, priorización de adquisición, oficina de planeación remitió versión preliminar de la estructura del plan, la subdirección de hidrología remitió algunos insumos técnicos. Avance 25%.</t>
    </r>
  </si>
  <si>
    <t>Se complementa con el informe de la actividad anterior, sin embargo los datos base del 2015 se encuentran en un avance del 75% validados por el Grupo de Laboratorio.
Queda pendiente la parte de bioindicación que está a cargo del grupo de Laboratorio de Calidad.
Avance 80%.</t>
  </si>
  <si>
    <t>La informaciòn topoatimètrica es de la regiòn de la Mojana que cubre las poblaciones de Ayapel, San Marcos, San Benito y Caimito. Se aprovechò la disponibilidad de la informaciòn para generar mapas adicionales. Se cuenta con 4 mapas.</t>
  </si>
  <si>
    <t>Se cuenta con un documento preliminar.
Se realizaron talleres con instituciones y con funcionarios y directivos asociadas a la gestión y evaluación del riesgo. Se adelantaron reuniones entre el grupo consultor de Deltares (recursos de cooperación Internacional), el contratista nacional para tal fin y las entidades nacionales.</t>
  </si>
  <si>
    <t>Ajustar el Objetivo de esta Estrategia 5, ya que la estrategia corresponde al Objetivo 2, para no generar inconsistencias en el formato POA2016 e interpretar que corresponde al Objetivo 3.
De otra parte, en el PLAN INDICATIVO CUATRIENAL 2015-2018 -IDEAM, el Objetivo 2, Estrategia 5 y la respectiva Acciòn, està asignada a la Subdirecciòn de Estudios Ambientales, por lo que se debe realizar el ajuste correspondiente en el mencionado documento, dado entre otros, por la socializaciòn de este plan en la pàgina web institucional y su correspondiente connotaciòn de conocimiento pùblico.
Aunque los documentos producidos del indicador 1, hacen parte de los 3 "Productos temáticos generados", se debe ajustar el proceso de identificaciòn para cada uno de ellos o replantear su descripciòn, con el objeto de presentar o estimar una ejecuciòn consistente con lo programado, por lo tanto el avance del 50% no se determina con claridad.
Se deben revisar los indicadores 2 y 3 de esta actividad (4) de la secciòn POA 2016 - PROYECTO DE INVERSIÓN y sus respectivas metas, para evitar confusiones, ya que para el cuatrienio el indicador de "Subsistemas interoperando en el marco de SIAC", tiene una meta para 2016 de 0. Se sugiere rervisar con la Oficina Asesora de Planeaciòn la pertinencia del ajuste del indicador y la meta. Con referencia a la meta de 50 capas se debe revisar si se ajusta como insumo a dichos productos o replantear como producto adicional.
Con relaciòn a la ejecuciòn de recursos se debe definir la ejecuciòn de varios contratos que ascienden a $649`898.590, ya que se consideran programados; lo que conlleva a revisar la aplicaciòn efectiva de estos recursos o de lo contrario, informar con oportunidad a la instancia pertinente para su dispocisiòn, màxime cuando el àrea dispone de una informaciòn como "SALDO SIN PROGRAMAR" de $19`421.867. Estos recursos estàn asociados con la meta 7 de la Subdirecciòn de Estudios Ambientales y estàn direccionados a la elaboraciòn del pliego de condiciones. Al considerar los contratos iniciados, se presenta un 13% de ejecuciòn.</t>
  </si>
  <si>
    <t>PRODUCTOS:
Meta 1: 35%
RECURSOS 13%</t>
  </si>
  <si>
    <t>No tiene meta para este año.</t>
  </si>
  <si>
    <r>
      <rPr>
        <u/>
        <sz val="10"/>
        <color theme="1"/>
        <rFont val="Arial"/>
        <family val="2"/>
      </rPr>
      <t>JUN/16</t>
    </r>
    <r>
      <rPr>
        <sz val="10"/>
        <color theme="1"/>
        <rFont val="Arial"/>
        <family val="2"/>
      </rPr>
      <t xml:space="preserve">: El proceso de la información incluye los años 2015 y 2016. La operaciónn de la red se inició en el mes de abril y a junio se realizó la visita a todas las estaciones de la red. El avance de los meses procesados del 2015 va en 70% y del 2016 en el 18%, para los dos años van en 46%. </t>
    </r>
    <r>
      <rPr>
        <sz val="10"/>
        <color rgb="FFFF0000"/>
        <rFont val="Arial"/>
        <family val="2"/>
      </rPr>
      <t xml:space="preserve">Avance 46%.
</t>
    </r>
    <r>
      <rPr>
        <u/>
        <sz val="10"/>
        <color rgb="FFFF0000"/>
        <rFont val="Arial"/>
        <family val="2"/>
      </rPr>
      <t>AGT/16</t>
    </r>
    <r>
      <rPr>
        <sz val="10"/>
        <color rgb="FFFF0000"/>
        <rFont val="Arial"/>
        <family val="2"/>
      </rPr>
      <t>: El proceso de la información incluye los años 2015 y 2016. La operación de la red se inició en el mes de abril y a agosto se ha adelantado el proceso de información, teniendo en cuenta que la información hidrológica se verifica de manera anual. El avance de los meses procesados del 2015 va en 71% y del 2016 en el 25%, para los dos años van en 49%. Avance 49%.</t>
    </r>
  </si>
  <si>
    <r>
      <rPr>
        <u/>
        <sz val="10"/>
        <color theme="1"/>
        <rFont val="Arial"/>
        <family val="2"/>
      </rPr>
      <t>JUN/16</t>
    </r>
    <r>
      <rPr>
        <sz val="10"/>
        <color theme="1"/>
        <rFont val="Arial"/>
        <family val="2"/>
      </rPr>
      <t xml:space="preserve">: Se entregaron a la oficina asesora jurídica los estudios previos con los soportes para adelantar el proceso de contratación para la reubicación de las 13 estaciones metorológicas convencionales, de acuerdo con el estudio de precios del mercado. Se tiene programado en julio iniciar el proceso con la publicación de prepliegos. </t>
    </r>
    <r>
      <rPr>
        <sz val="10"/>
        <color rgb="FFFF0000"/>
        <rFont val="Arial"/>
        <family val="2"/>
      </rPr>
      <t xml:space="preserve">Avance 15%.
</t>
    </r>
    <r>
      <rPr>
        <u/>
        <sz val="10"/>
        <color rgb="FFFF0000"/>
        <rFont val="Arial"/>
        <family val="2"/>
      </rPr>
      <t>AGT/16</t>
    </r>
    <r>
      <rPr>
        <sz val="10"/>
        <color rgb="FFFF0000"/>
        <rFont val="Arial"/>
        <family val="2"/>
      </rPr>
      <t>: Se encuentra en trámite el proceso de licitanción pública N° o1 de 2016 para la instalación de 13 estaciones convencionales meteorológicas: 6 en el AO - 06 - Duitama, $ en AO - 04 - Neiva y 3 en AO - 09 - Cali. El proceso se debe adjudicar en septiembre. Avance 20%.</t>
    </r>
  </si>
  <si>
    <r>
      <rPr>
        <u/>
        <sz val="10"/>
        <color theme="1"/>
        <rFont val="Arial"/>
        <family val="2"/>
      </rPr>
      <t>JUN/16</t>
    </r>
    <r>
      <rPr>
        <sz val="10"/>
        <color theme="1"/>
        <rFont val="Arial"/>
        <family val="2"/>
      </rPr>
      <t xml:space="preserve">: En el mes junio el Instituto Nacional de Metrología. INM presentó la propuesta para adelantar para el desarrollo de actividades científicas y tecnológicas en el marco de un programa de asistencia técnica metrológica, para acompañar técnicamente al Instituto en los procesos de calibración de tiempo, tensión y corriente DC, volumen, presión, temperatura y humedad. </t>
    </r>
    <r>
      <rPr>
        <sz val="10"/>
        <color rgb="FFFF0000"/>
        <rFont val="Arial"/>
        <family val="2"/>
      </rPr>
      <t xml:space="preserve">Avance 10%.
</t>
    </r>
    <r>
      <rPr>
        <u/>
        <sz val="10"/>
        <color rgb="FFFF0000"/>
        <rFont val="Arial"/>
        <family val="2"/>
      </rPr>
      <t>AGT/16</t>
    </r>
    <r>
      <rPr>
        <sz val="10"/>
        <color rgb="FFFF0000"/>
        <rFont val="Arial"/>
        <family val="2"/>
      </rPr>
      <t>: Se entregaron a la oficina asesora jurídica los estudios previos con todos los soportes para adelantar el proceso para el contrato interadministrativo con el INM. Avance 15%.</t>
    </r>
  </si>
  <si>
    <t>No se han ejecutado recursos (Licitaciòn en proceso de evaluaciòn).</t>
  </si>
  <si>
    <t>No se han ejecutado recursos (En proceso el contrato interadministrativo con el Instituto Nacional de Metrología -INM).</t>
  </si>
  <si>
    <r>
      <rPr>
        <u/>
        <sz val="10"/>
        <color theme="1"/>
        <rFont val="Arial"/>
        <family val="2"/>
      </rPr>
      <t>JUN/16</t>
    </r>
    <r>
      <rPr>
        <sz val="10"/>
        <color theme="1"/>
        <rFont val="Arial"/>
        <family val="2"/>
      </rPr>
      <t xml:space="preserve">: Se está revisando la información existente en el IDEAM de los trabajos realizados en el tema de reingeniería de la red. </t>
    </r>
    <r>
      <rPr>
        <sz val="10"/>
        <color rgb="FFFF0000"/>
        <rFont val="Arial"/>
        <family val="2"/>
      </rPr>
      <t xml:space="preserve">Avance 15%.
</t>
    </r>
    <r>
      <rPr>
        <u/>
        <sz val="10"/>
        <color rgb="FFFF0000"/>
        <rFont val="Arial"/>
        <family val="2"/>
      </rPr>
      <t>AGT/16</t>
    </r>
    <r>
      <rPr>
        <sz val="10"/>
        <color rgb="FFFF0000"/>
        <rFont val="Arial"/>
        <family val="2"/>
      </rPr>
      <t>: Se continua revisando la información existente en el IDEAM de los trabajos realizados en el tema de reingeniería de la red. Avance 20%.</t>
    </r>
  </si>
  <si>
    <t>BOLETINES 67%
RECURSOS 0%</t>
  </si>
  <si>
    <t>Boletines agrometeorológicos (12) y climáticos (12).</t>
  </si>
  <si>
    <t>Se dispone de las serie diarias de temperatura media, mínima y máxima para el perìodo 1974-2014.</t>
  </si>
  <si>
    <t>(1) -Reuniòn con la Subdirectora de Ecosistemas e Informaciòn Ambiental, Sra. Marìa Saralux Valbuena el 7/SPT/16 (4 Actividades - 7 Metas - 67 Productos).
-Pese a que esta Subdirecciòn tiene a cargo, segùn el PLAN INDICATIVO CUATRIENAL 2015-2018 -IDEAM, el desarrollo del Objetivo 2, Estrategia 1 y la Acción: Uso de instrumentos económicos y la valoración de la biodiversidad, no se registran actividades en este POA2016. Por lo que se sugiere, que la Oficina Asesora de Planeaciòn debe realizar los ajustes pertinentes.
Dcto. 2482/12. Metodología para la implementación del Modelo Integrado de Planeación y Gestión. 2.2 GESTIÓN MISIONAL Y DE GOBIERNO. Indicadores y Metas de Gobierno. Los indicadores y metas que se definen como estratégicos son incluidos en el Sistema de Seguimiento a Metas de Gobierno, para su monitoreo permanente por parte de la Presidencia de la República y del Departamento Nacional de Planeación.
Según lo establece la Directiva Presidencial 021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</si>
  <si>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(1) Reuniòn con con Franklyn Ruiz Murcia, Olga Cecilia Gonzalez, Ruth Leonor Correa y Martha Cecilia Correa, funcionarios de la Subdirecciòn de Meteorologìa, el 6/SPT/16 (7 Actividades - 8 Metas - 155 Productos).</t>
  </si>
  <si>
    <t>Se presenta un avance (67%) que està relacionado con el desarrolo de las tareas del àrea y se registra como apreciaciòn objetiva de la dependencia.
Para lo corrido de èsta vigencia y al tener en cuenta el soporte de operación y administración de los 3 sistemas mencionados (SSHM, Hydras y CNE), se puede indicar que el avance en el mantenimiento de los aplicativos sujetos a ser "probados e implementados" serìa del 43%. Sin embargo, èste dato de por sì genera confusiòn si se relaciona con la meta del 20% para el 2016, ya que no solo se trata de realizar mantenimiento a los aplicativos existentes, sino que ademàs se debe tener en cuenta los que puedan ser requeridos por las áreas, bien sea por construcciòn o adquisiciòn durante la vigencia, situaciòn que genera incertidumbre al no conocer con exactitud la lìnea base de los sistemas de informaciòn; adicionalmente se presenta un indicador de resultado con una meta que estarìa sujeta a demanda, para lo cual se sugiere adelantar con la Oficina Asesora de Planeaciòn la respectiva gestiòn de acompañamiento para la claridad en la descripciòn y unificaciòn de criterios.
Por lo tanto, se sugiere replantear la descripciòn de la actividad, el indicador y la meta, ya que se evidencia la falta de claridad para determinar el avance real y cumplimiento de lo descrito para el perìodo.
Con relaciòn a la ejecuciòn de recursos se evidencia que se direccionan a la consecuciòn de una herramienta informàtica que consolide e integre los sistemas actuales de informaciòn, por lo que no es consecuente con lo planteado en el POA2016.
De igual forma, se deben revisar y atender los planteamientos de la Contralorìa General de la Repùblica, descritos en el informe de auditorìa vigencia 2015, citados en el numeral 3.1.1.4.1 Línea de las Tecnologías de la Información y las Comunicaciones –TIC’S, asì como desarrollar las acciones que permitan superar los hallazgos 9, 10, 11 y 12.</t>
  </si>
  <si>
    <t>(1) Reuniòn del 9/SPT/16, con el jefe de la Oficina de Informàtica, Ing. Leonardo Càrdenas Chitiva (5 Actividades - 5 Metas - 5 Productos avance).
El Objetivo 2, la estrategia 5 y la acciòn, citados en èste formato, no coinciden con lo registrado en el Plan Indicativo Cuatrienal 2015-2018. Estas 5 actividades estàn relacionadas con el Objetivo 3, Estrategia 1 y la Acciòn de Fortalecer el sistema de monitoreo y de alertas tempranas, indicado en el Plan Institucional referido.
De otra parte, en el Plan Indicativo Cuatrienal 2015-2018 se repiten 2 productos esperados identificados como: Sistema de Gestión de Seguridad de la Información implementado con base en la Estrategia de Gobierno en Línea, con metas del 100 para cada uno. En el POA2016, refieren 2 actividades, la actividad 4 conserva este producto pero la actividad 5 la modifica con el referente sobre el manual GEL. Por lo tanto, se sugiere que la Oficina Asesora de Planeaciòn debe revisar la pertinencia de los ajustes.
Teniendo en cuenta que las actividades y gestiones deben estàr enfocadas a fortalecer la buena disposiciòn de los sistemas de informaciòn del SIA para permitir el uso adecuado por parte de las autoridades ambientales, se deben consolidar esfuerzos con el propòsito de tomar acciones que propendan por optimizar estos mecanismos y superar los impactos generados por los hallazgos 9, 11 y 12 de la Contralorìa General de la Repùblica, con ocasiòn del informe de auditorìa vigencia 2015. Asì mismo, revisar el alcance del hallazgo 10 con relaciòn a la permanente comunicaciòn con dichas instancias para el cumplimiento de los objetivos misionales.</t>
  </si>
  <si>
    <t>Desarrollo de la segunda fase del plan de mejoramiento de las operaciones estadísticas, Registro de Generación y Manejo de Residuos o Desechos Peligrosos – RESPEL y del Subsistema de Información sobre la calidad del Aire – SISAIRE; se consolidarán las versiones finales del conjunto de documentos de metodología general desarrollados en la primera fase, asi mismo el desarrollo de las acciones y productos señalados segun cronograma del plan de mejoramiento (4 actividades AIRE y 8 actividades RESPEL)</t>
  </si>
  <si>
    <t>No se han utilizado recursos.</t>
  </si>
  <si>
    <t>Se consolidaron las cifras sobre el estado de avance en la implementación del Inventario Nacional de PCB, con la información de los periodos de balance 2012, 2013, 2014 y 2015.
Se iniciò el informe de PCB para el periodo de balance 2014.
MinAmbiente apoya con un contratista que lidera el tema, sin recursos del IDEAM.</t>
  </si>
  <si>
    <t>Aunque las gestiones se concentran en la valoraciòn y consolidaciòn de informaciòn, se sugiere describir las fases para consolidar el informe o documento a desarrollar.
Ejecuciòn presupuestal de 0% y se adelanta proceso de informe para liberaciòn de recursos.</t>
  </si>
  <si>
    <t>REGISTROS 100% -Supera meta
RECURSOS 0%</t>
  </si>
  <si>
    <t>Se adelantan las actividades conforme a lo proyectado.</t>
  </si>
  <si>
    <t>Se adelanta un contrato y registra una ejecuciòn por $1.550`691.216.</t>
  </si>
  <si>
    <t>Se registran laboratorios y OEC acreditados por encima de la meta establecida.</t>
  </si>
  <si>
    <t>LABORATORIOS 100% -Supera meta
RECURSOS 53%</t>
  </si>
  <si>
    <t>Se adelantan estudios previos, análisis de riesgo, análisis del sector para aprobación del comité de contratación en la evaluación de pruebas de desempeño.
La Oficina Asesora Jurídica revisa lo pertinente.</t>
  </si>
  <si>
    <t>(1) Reuniòn con Juan Carlos Lobo, jefe de la Oficina Asesora de Planeaciòn, el 7/SPT/16 (2 Actividades - 2 Metas - 2 Productos).</t>
  </si>
  <si>
    <r>
      <rPr>
        <u/>
        <sz val="9"/>
        <color theme="1"/>
        <rFont val="Arial"/>
        <family val="2"/>
      </rPr>
      <t>JUN/16</t>
    </r>
    <r>
      <rPr>
        <sz val="9"/>
        <color theme="1"/>
        <rFont val="Arial"/>
        <family val="2"/>
      </rPr>
      <t xml:space="preserve">: Durante los meses de mayo y junio de 2016 no se proyectaron actividades de este tipo.. </t>
    </r>
    <r>
      <rPr>
        <sz val="9"/>
        <color rgb="FFFF0000"/>
        <rFont val="Arial"/>
        <family val="2"/>
      </rPr>
      <t>Avance  50%.</t>
    </r>
  </si>
  <si>
    <r>
      <rPr>
        <u/>
        <sz val="9"/>
        <color theme="1"/>
        <rFont val="Arial"/>
        <family val="2"/>
      </rPr>
      <t>JUN/16</t>
    </r>
    <r>
      <rPr>
        <sz val="9"/>
        <color theme="1"/>
        <rFont val="Arial"/>
        <family val="2"/>
      </rPr>
      <t xml:space="preserve">: Esta actividad se encuentra pendiente por contratar, para lo cual se están adelantando los trámites con la Oficina Jurídica para llevar a cabo dicha contratación. </t>
    </r>
    <r>
      <rPr>
        <sz val="9"/>
        <color rgb="FFFF0000"/>
        <rFont val="Arial"/>
        <family val="2"/>
      </rPr>
      <t>Avance 20%.</t>
    </r>
  </si>
  <si>
    <r>
      <rPr>
        <u/>
        <sz val="9"/>
        <color theme="1"/>
        <rFont val="Arial"/>
        <family val="2"/>
      </rPr>
      <t>JUN/16</t>
    </r>
    <r>
      <rPr>
        <sz val="9"/>
        <color theme="1"/>
        <rFont val="Arial"/>
        <family val="2"/>
      </rPr>
      <t xml:space="preserve">: Esta actividad se adelantó por medio del contrato No. 201 de 2016, el cual opera desde el 16 de junio hasta el 31 de diciembre de 2016. El monitoreo de medios se realiza a partir del 16 de junio por medio de AT-Agencia. Evidencia: Reporte Infoanálisis de medios. </t>
    </r>
    <r>
      <rPr>
        <sz val="9"/>
        <color rgb="FFFF0000"/>
        <rFont val="Arial"/>
        <family val="2"/>
      </rPr>
      <t>Avance 10%.</t>
    </r>
  </si>
  <si>
    <r>
      <rPr>
        <u/>
        <sz val="9"/>
        <color theme="1"/>
        <rFont val="Arial"/>
        <family val="2"/>
      </rPr>
      <t>JUN/16</t>
    </r>
    <r>
      <rPr>
        <sz val="9"/>
        <color theme="1"/>
        <rFont val="Arial"/>
        <family val="2"/>
      </rPr>
      <t xml:space="preserve">: Esta actividad se adelantó por medio del contrato No. 165 de 2016, el cual opera desde el 1 de mayo hasta el 31 de diciembre de 2016. Durante los meses de mayo y junio de 2016 se grabaron, emitieron y publicaron 183 videos diarios del pronóstico del tiempo, los cuales se emitieron tres veces al día. Evidencia: Link canal YouTube IDEAM: Pronóstico diario del tiempo
https://www.youtube.com/watch?v=Or50WyBsrow&amp;index=1&amp;list=PLouP7beVf8Wmu_B-5ZCnE8uQ8vUBjVpZ8. </t>
    </r>
    <r>
      <rPr>
        <sz val="9"/>
        <color rgb="FFFF0000"/>
        <rFont val="Arial"/>
        <family val="2"/>
      </rPr>
      <t>Avance  52%.</t>
    </r>
  </si>
  <si>
    <t>(1) Reuniòn con Diego Contreras, funcionario del Grupo de Servicios Administrativos de la Secretarìa General, el 12/SPT/16 (4 Actividades - 10 Metas - 733 Productos).</t>
  </si>
  <si>
    <r>
      <rPr>
        <u/>
        <sz val="10"/>
        <color theme="1"/>
        <rFont val="Arial"/>
        <family val="2"/>
      </rPr>
      <t>JUN/16</t>
    </r>
    <r>
      <rPr>
        <sz val="10"/>
        <color theme="1"/>
        <rFont val="Arial"/>
        <family val="2"/>
      </rPr>
      <t xml:space="preserve">: Teniendo en cuenta la labor realizada en los meses anteriores, se tomo la decisión de realizar el proceso de convocatoria Pública para la construcción de laboratorio de calidad ambiental en Puente Aranda. A la fecha la parte técnica se encuentra realizando ajuste de ítems y precios, la parte jurídica se encuentra desarrollando los estudios previos del proceso. Respecto a sedes adecuadas, se tienen cotizaciones y esta en proceso la elaboración de los estudios previos. Evidencia: Oficina de Servicios Administrativos. </t>
    </r>
    <r>
      <rPr>
        <sz val="10"/>
        <color rgb="FFFF0000"/>
        <rFont val="Arial"/>
        <family val="2"/>
      </rPr>
      <t xml:space="preserve">Avance 30%.
</t>
    </r>
  </si>
  <si>
    <t>(1). Reuniòn con Rocio Rodriguez Granados y Carlos Daniel Urrea Hernandez, funcionarios de la Subdirecciòn de Estudios Ambientales, el 7/SPT/16 (11 Actividades - 12 Metas - 12431 Productos).
Revisar la consistencia en el Plan Indicativo Cuatrienal, del "Producto Esperado" Publicaciones periódicas: Informe del estado del ambiente y de los recursos naturales, calidad del aire, RESPEL, asociados, tanto al Objetivo 2, Estrategia 1 y Acción: Uso de instrumentos económicos y la valoración de la biodiversidad con una meta cuatrienal de 12, como con el Objetivo 2, Estrategia 3 y Acción: Manejo integrado de la contaminación, con énfasis en reconversión a tecnologías más limpias con una meta cuatrienal de 4.
En èste POA2016 solo se considera el producto asociado al Objetivo 2, Estrategia 1 y Acción: Uso de instrumentos económicos y la valoración de la biodiversidad con una meta cuatrienal de 12.</t>
  </si>
  <si>
    <r>
      <rPr>
        <u/>
        <sz val="9"/>
        <color theme="1"/>
        <rFont val="Arial"/>
        <family val="2"/>
      </rPr>
      <t>JUN/16</t>
    </r>
    <r>
      <rPr>
        <sz val="9"/>
        <color theme="1"/>
        <rFont val="Arial"/>
        <family val="2"/>
      </rPr>
      <t xml:space="preserve">: Esta actividad se encuentra pendiente por contratar, para lo cual se están adelantando los trámites con la Oficina Jurídica para llevar a cabo dicha contratación. </t>
    </r>
    <r>
      <rPr>
        <sz val="9"/>
        <color rgb="FFFF0000"/>
        <rFont val="Arial"/>
        <family val="2"/>
      </rPr>
      <t xml:space="preserve">Avance 20%.
</t>
    </r>
    <r>
      <rPr>
        <u/>
        <sz val="9"/>
        <color rgb="FFFF0000"/>
        <rFont val="Arial"/>
        <family val="2"/>
      </rPr>
      <t/>
    </r>
  </si>
  <si>
    <t>Se modificò el indicador por el de adquirir equipos para la vigencia 2016.
Se adelanta el procesos de contrataciòn con la Oficina Jurídica.</t>
  </si>
  <si>
    <t>Se emiten los videos diarios del pronóstico del tiempo, los cuales se transmiten 3 veces al día.</t>
  </si>
  <si>
    <r>
      <rPr>
        <u/>
        <sz val="9"/>
        <color theme="1"/>
        <rFont val="Arial"/>
        <family val="2"/>
      </rPr>
      <t>JUN/16</t>
    </r>
    <r>
      <rPr>
        <sz val="9"/>
        <color theme="1"/>
        <rFont val="Arial"/>
        <family val="2"/>
      </rPr>
      <t xml:space="preserve">: Durante el mes de Junio, se realizaron las siguientes capacitaciones articuladas en el PIC así:-Por medio de las Resolución nro. 1166 del 8 de junio de 2016 se autoriza la participación de ocho (8) funcionarios de carrera administrativa, Libre nombramiento y Remoción en el VIII congreso Nacional de Presupuesto publicó , liderado por firma F&amp;C Consultores, con una inversión de $ 10.136.500. Se reitera que presupuestalmente a corte del mes de Junio se han ejecutado el 19,13 % de los recursos asignados, equivalente a $17.213.500.-El 30 de Junio se presentaron los estudios previos ya que se beneficiaran (30) funcionarios para realizar esta capacitación con el Ministerio Público. La inversión será de un $60.000.000.-Se desarrollaron inducciones a (20) funcionarios que ingresaron al IDEAM en este mes. Las capacitaciones que se desarrollaron por gestión de las diferentes dependencias del Ideam fueron: -AO1 Medellín: Thalimedes, descarga de información y parametrización, (6 asistentes).-AO 8 Bucaramanga: Migración de datos ofrecida por la contratista Claudia Marcela Flores, (9 asistentes).-Grupo de Talento Humano: intervención pedagógica teatral en prevención de Riesgos Laborales , (56 asistentes).Pausas activas-control de peso (26 asistentes). Inspección parta levantamiento de matriz de peligros-ARL SURA ,(2 asistentes). Charla Brigada de Emergencias-Primeros auxilios, (17, 30 junio), (12 asistentes). </t>
    </r>
    <r>
      <rPr>
        <sz val="9"/>
        <color rgb="FFFF0000"/>
        <rFont val="Arial"/>
        <family val="2"/>
      </rPr>
      <t xml:space="preserve">Avance 19,13%.
</t>
    </r>
    <r>
      <rPr>
        <u/>
        <sz val="9"/>
        <color rgb="FFFF0000"/>
        <rFont val="Arial"/>
        <family val="2"/>
      </rPr>
      <t>AGT/16</t>
    </r>
    <r>
      <rPr>
        <sz val="9"/>
        <color rgb="FFFF0000"/>
        <rFont val="Arial"/>
        <family val="2"/>
      </rPr>
      <t xml:space="preserve">: </t>
    </r>
    <r>
      <rPr>
        <sz val="9"/>
        <rFont val="Arial"/>
        <family val="2"/>
      </rPr>
      <t>A partir de este bimestre, el indicador de cumplimiento  del PIC 2016, se evalua acorde a las lineas programaticas de capacitación delimitadas en el Plan , por lo anterior se encuentra que en este periodo se ejecutaron cuatro (4) lineas programaticas relacionadas asi:-Hidrologia y metereologia básica AO 4 Neiva: tema:Capacitación Altimetría, (9 asistentes), (18 al 25 de julio).-Ingles:Nivel A1, Sector ambiente, (21 aistentes), (22 al 31 de agosto).-Ofimática AO1 Antioquia: tema:Herramientas Ofimática, (10 asistentes), (26 julio) AO7 Pasto: tema: Optimizacion del trabajo en el computador, (8 aistentes), (14 de Julio). AO10 Ibagué:  tema: Optimizacion del trabajo en el computador, (10 aistentes), (12 de Julio). -Gestión administrativa Talento Humano: Resolución 2388 Seguridad Social, (4 aistentes), (31 agosto).-Induccion. En el mes de julio se realizó a dos (2) funcioanrios y a doce (12) funcionarios ejecutada del 08 al 10 de agosto de 2016, el memorando   nro 20162020009343 evidencia los cronogramas en cada uno de los Procesos de Inducción y Entrenamiento en el Puesto de Trabajo. (14 aistentes) -Seguridad y Salud en el Trabajo AO 4 Neiva: tema:Trabajo Seguro en Alturas, (9 aistentes), (27 julio). asistentes: 85 funcionarios. Se reitera que presupuestalmente a corte del  31 de agosto se han ejecutado el 19,79%  de los  recursos asignados, equivalente $ 17,816,750, relacionando distribuido en  las siguientes lineas programaticas:-Actualización en Manejo de Archivo Seminario Taller Archivo y gestión Documental para la Administración Pública - Res 0637 20-04-de 2016, (3 aistentes), (12-13 mayo), ($2,721,750).-Actualización en gestión financiera pública V Congreso nacional de gestiónfinanciera,Resoluciòn Nro 0376, 15-03-2016 (5 asistentes), (16-18 marzo), ($4,958,500). VIII Congreso nacional de presupuesto público, Res 1166 de 2016,8-06-2016 (8 asistentes); (9-11 junio), ($ 10.136.500). Se informa que a corte 31 de Agosto, de las doce  (12)  lineas programaticas de capacitación del PIC 2016, se han desarrollado  ocho (8) lineas, las cuales corresponden a Competencias Blandas, Hidrología y Meteorología Básica, Inglés, Ofimática, Actualización en Manejo de Archivo, Actualización en gestión financiera pública,  Seguridad y Salud en el Trabajo,induccion.</t>
    </r>
    <r>
      <rPr>
        <sz val="9"/>
        <color rgb="FFFF0000"/>
        <rFont val="Arial"/>
        <family val="2"/>
      </rPr>
      <t xml:space="preserve"> Avance 66%.</t>
    </r>
  </si>
  <si>
    <r>
      <rPr>
        <u/>
        <sz val="9"/>
        <color theme="1"/>
        <rFont val="Arial"/>
        <family val="2"/>
      </rPr>
      <t>JUN/16</t>
    </r>
    <r>
      <rPr>
        <sz val="9"/>
        <color theme="1"/>
        <rFont val="Arial"/>
        <family val="2"/>
      </rPr>
      <t xml:space="preserve">: De las ochenta y cuatro (84) actividades programadas para la vigencia 2016 en el Plan de Bienestar Social; en este periodo se han desarrollado doce (12 de las cuales se relaciona que la actividad del contrato de prestación de servicios médicos para la realización de exámenes médicos ocupacionales de ingreso, periódicos, se han ejecutado $7.549.500. Componente de Bienestar Social: (5) actividades así:-Consultas Psicológicas individuales: por solicitud de los funcionarios.- Actividad Deportiva Torneo: Toreno Ping Póngase desarrollo la programación de los partidos que se inscribieron, además se otorgaron los premios al primer, segundo y tercer puesto del campeonato. (18)equipos participantes. (Ver evidencias-radicado 20162020007993).-Otorgamiento de un día en el cumpleaños de cada funcionario: En este periodo solicitaron (19)
funcionarios.-Día del padre: se entregaron obsequios esferos (79) a la sede central , áreas operativas y aeropuertos (67).(Ver evidencias-radicado 20162020009323).-Día del Servidor público: se desarrollaron (2) capacitaciones de importancia de la actividad física y pausas activas en la jornada mañana y de finanzas personales en la tarde. (18) asistentes.(Ver evidencias-radicado 20162020007983).Total participantes de este componente: (225) funcionarios. Componente de Seguridad y salud en el trabajo: (7) actividades </t>
    </r>
    <r>
      <rPr>
        <sz val="9"/>
        <rFont val="Arial"/>
        <family val="2"/>
      </rPr>
      <t xml:space="preserve">así:-Envio de Correos informativos sobre seguridad y Salud en el trabajo:( 3)-Medición de confort térmico por calor en las àreas administrativas del Laboratorio de Calidad Ambiental en dias soleados-Medición de iluminación de Laboratorio de Calidad Ambiental:informe emitido por ARL Positiva-Evaluación del perfil de humus metálicos, minimo tres puntos-Evento teatral positiva: actividad realizada para el dia del funcionario, se evidencia la participación de (56 funcionarios)-programación y ejecución de los  examenes médicos sede Bogotá, aréas operativas, ingreso  y egreso de personal-Pausas activas sede Bogota con ARL positiva:(26 asistentes).Total participantes de este componente: (85) funcionarios.Total asistentes Plan de Bienestar Social: 310  funcionarios. </t>
    </r>
    <r>
      <rPr>
        <sz val="9"/>
        <color rgb="FFFF0000"/>
        <rFont val="Arial"/>
        <family val="2"/>
      </rPr>
      <t xml:space="preserve">Avance 36%.                            
</t>
    </r>
    <r>
      <rPr>
        <u/>
        <sz val="9"/>
        <color rgb="FFFF0000"/>
        <rFont val="Arial"/>
        <family val="2"/>
      </rPr>
      <t>AGT/16</t>
    </r>
    <r>
      <rPr>
        <sz val="9"/>
        <color rgb="FFFF0000"/>
        <rFont val="Arial"/>
        <family val="2"/>
      </rPr>
      <t xml:space="preserve">: </t>
    </r>
    <r>
      <rPr>
        <sz val="9"/>
        <rFont val="Arial"/>
        <family val="2"/>
      </rPr>
      <t xml:space="preserve">Durante el cuarto bimestre de la vigencia 2016, De las ochenta y cuatro (84) actividades programadas; en este periodo se han ejecutado trece  (14), seis(6)  actividades del componente de Bienestar Social y siete (8) de SSGT. -Consultas psicológicas individuales y grupales: por solicitud de los funcioanrios.-Día del conductor 15 de julio: (4 aistentes) (RADICADO NÚMERO ( 20162020008033).- Acompañamiento en calamidades y fallecimientos: según ocurrencia del evento.-IIIConcurso de fotografía: Busca fortalecer el sentido de pertenencia por el instituto, en el quehacer cotidiano de los funcionarios y contratistas de la familia ideam, la exposición se realizó del 8 al 29 de agosto, (12 consursantes), categorias. sentido de pertenenecia con el instituto y sentido de pertenencia con el medio ambiente, evdiencias (RADICADO NÚMERO 20162020009993).-Otorgamiento de un dia en el cumpleaños de cada funcionario:En este periodo solicitaron  (19) funcionarios.-Creditos educativos condonables CONVENIO ICETEX Se mantuvo el Convenio 2011-0472 mediante el cual algunos funcionarios se benefician con el financiamiento del 100% de sus estudios siempre y cuando cumplan con los requisitos del reglamento operativo que hace parte integral del mismo, se realizó seguimiento al convenio y trámites ante el Icetex para las renovaciones de los créditos educativos, los beneficiarios de dicho convenio son: IGNACIA TAMARA OMAÑA Y CAROLINA ROZO PRIETO. (2 beneficiarios).Componente de Seguridad y salud en el trabajo: (8) actividades asi:-Reunión y capacitación de la brigada de emergencias: (22 julio), organziación brigada de emergencias, (11 asistentes)-Seguimiento a gestión de cursos de Trabajo en Alturas – Áreas Operativas:AO 4 Neiva: tema:Trabajo Seguro en Alturas, (9 aistentes), (27 julio).-Semana de la salud, se desarrollo  del 16 al 19 de agosto, (151 asistentes) durante esta jornada.  (RADICADO NÚMERO  20162020009673).-Jornada de Donación de Sangre-Ejecucion de contrato de   exámenes  médicos.-Capacitaciones CPASST-Pausas activas sedes Bogota-Primera entrega de las matrices de identificaciòn de riesgos y peligros y planes de emergencias de araes operativas y aeropuertos inspeccionados a la fecha. Se reitera que presupuestalmente a la fecha se han comprometido para el proceso de contartación de examenes medicos  $48.179.500, de los cuales se han ejecutado $7.549.500 . </t>
    </r>
    <r>
      <rPr>
        <sz val="9"/>
        <color rgb="FFFF0000"/>
        <rFont val="Arial"/>
        <family val="2"/>
      </rPr>
      <t>Avance 53%.</t>
    </r>
  </si>
  <si>
    <r>
      <rPr>
        <u/>
        <sz val="9"/>
        <color theme="1"/>
        <rFont val="Arial"/>
        <family val="2"/>
      </rPr>
      <t>JUN/16</t>
    </r>
    <r>
      <rPr>
        <sz val="9"/>
        <color theme="1"/>
        <rFont val="Arial"/>
        <family val="2"/>
      </rPr>
      <t xml:space="preserve">: Durante este periodo se realizó la segunda convocatoria de auxilios Educativos para los funcionarios del Ideam, donde se presentaron cuatro (4) funcionarios para renovación auxilio educativo y se encuentra pendiente de la aprobación del Comité de Estímulos e Incentivos.-Por Directrices del IDEAM se amplio el plazo hasta el 30 de Junio de las convocatorias de los premios a la idea innovadora y mejor equipo de trabajo, no se presento ningún funcionario. Es de aclarar que durante este mes no se otorgaron estímulos educativos, pero el Grupo de Talento Humano realizó actividades de gestión del proceso, por lo anterior el indicador que se encuentra articulado en el SGI, no se puede evaluar. </t>
    </r>
    <r>
      <rPr>
        <sz val="9"/>
        <color rgb="FFFF0000"/>
        <rFont val="Arial"/>
        <family val="2"/>
      </rPr>
      <t xml:space="preserve">Avance 33%.
</t>
    </r>
    <r>
      <rPr>
        <u/>
        <sz val="9"/>
        <rFont val="Arial"/>
        <family val="2"/>
      </rPr>
      <t>AGT/16</t>
    </r>
    <r>
      <rPr>
        <sz val="9"/>
        <rFont val="Arial"/>
        <family val="2"/>
      </rPr>
      <t>: Durante el mes de Julio se realizó el Comíté de Estímulos e Incentivos , se aprueban solicitudes para auxilio educativo para tres (3) funcionarios por valor de $4'317.150, valor contemplado en el CDP 72116. (acta nro o2). Se realizó convocatoria única para la recepción de documentos para auxilio educativo para hijos menores de edad.
Se realizó gestión ante la Universidad Nacional Abierta y a Distancia UNAD para suscribir convenio con el IDEAM mediante el cual se otorgue descuento del 15% en cualquiera de los programas que ofrece esta institución. Se realizó reunión con la coordinadora del Grupo de Talento Humano y los representantes de la Univerisdad; se realizó reunión abierta de asesoría e información con los funcionarios. IDEA INNOVADORA: se envío invitación a jurados externos para calificación del trabajo presentado por el funcionario Jorge Luis Ceballos Liévano, denominado "Monitoreo Glaciar Participativo MGP" y a la jefe inmediata.
 EXCELENCIA INDIVIDUAL,: durante  el mes de Agosto se envió la matriz de excelencia individual a los jefes de los funcionarios que cumplen con los requisitos para optar al premio Excelencia Individual.,encontrandose cuarenta y tres(43) funcionarios. Los premios a la excelencia individual, idea innovadora y el reconocimiento a la antigüedad laboral se entregan en el evento de fin de año de reconocimiento a los logros laborales. Se reitera que presupuestalmente a corte del  31 de agosto se han desembolsado auxilios educativos  por    $ 8.246.550, es decir se ha ejecutado el 14,99% de los de los recursos asignados ($55.000.000) .</t>
    </r>
    <r>
      <rPr>
        <sz val="9"/>
        <color rgb="FFFF0000"/>
        <rFont val="Arial"/>
        <family val="2"/>
      </rPr>
      <t xml:space="preserve"> Avance 51%. </t>
    </r>
  </si>
  <si>
    <t xml:space="preserve">En agosto se presentan ajustes para recursos de inversiòn, el cual asciende a $4.434`585.570, con un presupuesto ejecutado por $444`705.869 (Julio/16).
Se han adelantado los siguientes contratos:
-Contrato 312 de 2015,
-Contrato 036 de 2015,
-Contrato 056 de 2016,
-Contrato 014 de 2016,
-Contrato 013 de 2016,
-Contrato 019 de 2016,
-Contrato 153 de 2016,
-Contrato 241 de 2016,
-Contrato 200 de 2016,
-Contrato 185 de 2016,
-Contrato 154 de 2016,
-Contrato 228 de 2016.
Caba aclarar que se ha contado con recursos de funcionamiento para atender estos contratos.
Actualmente se adelantan gestiones para la contrataciòn de bienes y servicios que presentan las siguientes etapas:
-Pendiente por legalizar, el contrato de servicios de soporte y mantenimiento del software de pronóstico hidrológico Delft - FEWS.
-Renovación de licencias y/o suscripciones de software del IDEAM (Radicada en Oficina Jurídica).
-Estudios previos de servicios de Datacenter alterno para DRP.
-Estudios previos de servicios de levantamiento de información, definición, capacitación y ejecución de actividades relacionadas con la transición del protocolo IPv4 a IPv6 al interior del IDEAM de acuerdo con el Manual GEL.
-En proceso de adjudicación, la contrataciòn a precios unitarios fijos sin reajuste, el mantenimiento y adecuación de la infraestructura de red de datos y voz, incluyendo el suministro de elementos y mano de obra que sean necesarios para las sedes del IDEAM.
-Suministro, instalación, configuración, integración y puesta en marcha de hardware y software para renovar la plataforma tecnológica del IDEAM incluyendo la prestación de los servicios conexos (Radicado en Oficina Juridica).
-En proceso de adjudicación, la instalación de hasta 16 cámaras de observación a nivel nacional, a todo costo, incluyendo el suministro de elementos y mano de obra que sean necesarios para la adecuación de las mismas y su habilitación para transmisión a través de Internet.
-Adquisición de equipos de red para el fortalecimiento de la infraestructura existente en el Data Center y garantizar alta disponibilidad en los servicios (Radicado en Oficina Jurídica).
-Estudios previos, de renovación de extensión de garantías y soporte para servidores, sistemas de almacenamiento y respaldo de la información.
</t>
  </si>
  <si>
    <t>DISPONIBILIDAD -Acorde con lo formulado
RECURSOS 10%- Inversiòn</t>
  </si>
  <si>
    <t>Si bièn el avance (81,5%) se registra como apreciaciòn objetiva de la dependencia, està relacionado con las gestiones que desarrollan diariamente.
Se presenta igualmente falta de claridad en la determinaciòn o identificaciòn de la actividad, formulaciòn de indicadores y metas.
Con relaciòn a la ejecuciòn de recursos no se presentan recursos de inversiòn.</t>
  </si>
  <si>
    <t xml:space="preserve">Estructuración de estudios previos para adquisición y/o construcción e implementación del sistema de información requerido para la gestión de datos hidrológicos y meteorológicos.
No presenta ejecuciòn. </t>
  </si>
  <si>
    <t>MANTENIMIENTO APLICATIVOS 43% -Gestiòn àrea
RECURSOS 0%</t>
  </si>
  <si>
    <t>No se puede referenciar el cumplimiento de la meta con lo dispuesto en el POA2016, dada la falta de claridad de la misma. De otra parte, se pudiera estimar el 20% siempre y cuando se establecieran o definieran previamente las etapas o fases que se contemplan en la implementaciòn del Sistema.
Sin asignaciòn de recursos de inversiòn.</t>
  </si>
  <si>
    <t>Las actividades relacionadas estan direccionadas a un proceso contractual para la arquitectura de TI.</t>
  </si>
  <si>
    <t>IMPLEMENTACION MANUAL GEL -ND
RECURSOS 0%</t>
  </si>
  <si>
    <t>Sin apropiaciòn de recursos de inversiòn.</t>
  </si>
  <si>
    <t>Sin apropiaciòn de recursos de inversiòn</t>
  </si>
  <si>
    <t>REPORTES 67%
RECURSOS -Sin apropiaciòn de recursos de inversiòn</t>
  </si>
  <si>
    <t>DOCUMENTO 50%
RECURSOS- Sin apropiaciòn de recursos de inversiòn</t>
  </si>
  <si>
    <t>BOLETINES 50%
RECURSOS -Sin apropiaciòn de recursos de inversiòn</t>
  </si>
  <si>
    <t>DOCUMENTOS ND% -Gestiòn 50%
RECURSOS -Sin apropiaciòn de recursos de inversiòn</t>
  </si>
  <si>
    <t xml:space="preserve">Sin apropiaciòn de recursos de inversiòn.
Revisar asignaciòn de recursos en el informe de seguimiento reportado por el àrea en el mes de junio/16. </t>
  </si>
  <si>
    <t>Sin apropiaciòn de recursos de inversiòn.
Los recursos son manejados por el Fondo directamente, Solo acuden al IDEAM para avalar tecnicamente los avances de pago.</t>
  </si>
  <si>
    <t>ESTACIONES -Sin meta 2016
RECURSOS -Sin apropiaciòn de recursos de inversiòn</t>
  </si>
  <si>
    <t>ESTACIONES 40%
RECURSOS -Sin apropiaciòn de recursos de inversiòn</t>
  </si>
  <si>
    <t xml:space="preserve">Sin apropiaciòn de recursos de inversiòn.
Soporte y mantenimiento del software Suite Visión Empresarial para el control y seguimiento en materia de planes de mejoramiento, indicadores y auditoría. (Contrato 253 de 2016). </t>
  </si>
  <si>
    <t>APLICATIVOS -GESTION acorde programado
RECURSOS -Sin apropiaciòn de recursos de inversiòn</t>
  </si>
  <si>
    <t>Sin apropiaciòn de recursos de inversiòn.
Se adelantò el contrato 184 de 2016.
Actualmente se adelantan gestiones para la contrataciòn de bienes y servicios que presentan las siguientes etapas:
-Estudios previos para  la adquisición e Instalación de Certificados Digitales.
-En proceso de adjudicación la adquisición de firmas digitales para usuarios de SIIF Nación.</t>
  </si>
  <si>
    <t>IMPLEMENTACION SGSI -ND
RECURSOS -Sin apropiaciòn de recursos de inversiòn</t>
  </si>
  <si>
    <t xml:space="preserve">Se presentan documentos de regionalización del inventario y los protocolos para el inventario en temas como ganadería, energía y quemas de biomasa, en el boletín del mes de mayo.
</t>
  </si>
  <si>
    <t xml:space="preserve">Se dispone de:
-Guía metodológica/protocolo para regionalizar el inventario nacional de emisiones GEI en las categorías de "Tierras y emisiones de GEI por quema de biomasa".
-Guía metodológica para regionalizar el inventario Nacional deemisiones de GEI en las categorías "energía".
En 2015 se elaboraron 6 documentos con informaciòn sobre cambio climàtico. </t>
  </si>
  <si>
    <t>Se replanteó el equema de desarrollo del documento que será elaborado por la Oficina Asesora de Planeación y la Subdirección de Hidrologìa.
En 2016 se avanzó en el diagnóstico de los equipos de laboratorio existentes, con priorización de adquisición.
La Oficina Asesora de Planeación remitió versión preliminar de la estructura del plan (Identificaciòn de componentes -infraestructura fìsica, inventario y confrontaciòn de equipos requeridos, procesos de intercalibraciòn) y la Subdirección de Hidrología aportò algunos insumos técnicos.
No se tiene previsto contratación para èste año.
Se trata de un proceso de acreditaciòn con CALA (Canadà), para lo cual se tienen que realizar varias etapas dentro del documento final.</t>
  </si>
  <si>
    <t>Los documentos refieren 2 componentes:
a) Fisicoquimico que està al 100%.
b) Bioindicaciòn que està pendiente y se adelanta al interior del IDEAM.
Avance del 50%.</t>
  </si>
  <si>
    <t>Pese a que en el Plan Indicativo Cuatrienal figura a cargo de la Subdirecciòn de Ecosistemas e Informaciòn Ambiental, este producto està en cabeza de la Subdirecciòn de Estudios Ambientales.
El tema del SIA es liderado y coordinado por la Subdirecciòn de Ecosistemas e Informaciòn Ambiental.
De otra parte, la actividad general se subdividiò en tareas al interior del àrea, todo lo cual hace parte del informe del estado del ambiente como insumo para el mismo.
Se definieron los estudios previos para la contratación del profesional de apoyo para la consolidación del IEARNN y se avanzó en la consolidación y revisión de documentos que alimentarían el informe.</t>
  </si>
  <si>
    <t>A julio 2016 no se registraba ejecuciòn de recursos, sin embargo se ha dispuesto la elaboraciòn de contratos.</t>
  </si>
  <si>
    <t>DOCUMENTO 50%
RECURSOS 0%</t>
  </si>
  <si>
    <t>Previamente se concertan los temas para cada boletìn y definir los contenidos o subtemas.
Se dispone del boletín de calidad de aire "Contaminación atmosférica" en la pagina web del instituto, que corresponde al primer semestre.
Se adelantan gestiones con referencia al segundo informe.</t>
  </si>
  <si>
    <t>Dado el hallazgo 16 de la Contralorìa General de la Repùblica en el informe de auditorìa vigencia 2015, se sugiere revisar su reformulaciòn, acatando los procedimientos dispuestos.
En informe de la CGR de la vigencia 2015 (hallazgo 16-folio 84) se indica: "En algunos casos el indicador se formula sobre acciones que depende de terceros y cuyo resultado no depende de la gestión del IDEAM, por lo que POA, como instrumento funcional de la planeación estratégica en estos casos no apunta a lograr metas planificadas, como se evidencia en las metas (Subdirección de Estudios ambientales metas 2 y 3-Informe CGR-Tabla 28-folio 82)".
La meta POA2016, puede presentar la idea de acreditar 200 laboratorios en èsta vigencia, sin embargo al revisar el Plan Indicativo Cuatrienal se advierte que se trata de alcanzar al 2016, la acreditaciòn de 200 laboratorios, del total de 250 laboratorios que se esperan tener al finalizar el cuatrienio.
El segundo indicador debe estar asociado a la acreditaciòn de laboratorios por lo tanto se debe revisar su alcance.
Ejecuciòn presupuestal 53%.</t>
  </si>
  <si>
    <t>Dado el hallazgo 14 de la Contralorìa General de la Repùblica en el informe de auditorìa vigencia 2015, se sugiere revisar en conjunto con la Oficina Asesora de Planeaciòn, el alcance de lo planteado por èsta instancia.
Al disponer de los 10 documentos identificados se debe aclarar su aplicabilidad. 
Con relaciòn a los 2 documentos de la meta de la actividad 11, se debe aclarar si las guìas reportadas son consideradas como insumos o de lo contrario se podrìan reportar como los 2 productos esperados. Esta ùltima situaciòn, no es consistente con el avance del 60% reportado por el àrea.
Se debe conservar la consistencia de los datos consignados en todos los documentos que hacen parte del proceso de informaciòn del POA.</t>
  </si>
  <si>
    <t>La Actividad 1 consolida los 2 productos formulados en el campo PLAN INDICATIVO CUATRIENAL, aunque se registra individualmente un indicador y una meta por producto. Se sugiere revisar la descripciòn de la actividad y formulaciòn de indicadores, con el propòsito de aclarar su identificaciòn o el alcance de cada uno de ellos.
Los avances (70% y 60%) se registran como apreciaciones objetivas de la dependencia y estàn relacionados con las mùltiples tareas y gestiones que adelantan, pero dificilmente se pueden asociar efectivamente a los resultados.
Para el primer indicador, se pueden consideran 2 productos elaborados de la meta establecida, lo que genera un avance menor al descrito, sin considerar el cumplimiento de las respectivas publicaciones. Dentro de las diversas actividades desarrolladas por el àrea, se reporta la elaboraciòn de boletines, sobre los cuales se debe determinar si son considerados como productos adicionales o son insumos para los mapas; situaciòn que denota debilidad en el proceso de planeaciòn y en la descripciòn de los componentes o elementos que hacen parte de los documentos finales.
En el segundo indicador, se dificulta analizar la presentaciòn de un avance objetivo durante la vigencia, ya que en primera instancia se debe establecer la base sobre la cual se realiza el 40% del cuatrienio y conocer con exactitud su alcance, para determinar luego el cumplimiento del 5% para el 2016. Este aspecto amerita atenciòn especial, dados los hallazgos de la Contralorìa General de la Repùblica (17 y 18 -IFN). Se sugiere revisar con la Oficina Asesora de Planeaciòn los componentes del proyecto y de ser pertinente replantear su formulaciòn, en su descripciòn o alcance. 
Con relaciòn a la ejecuciòn de recursos se evidencia el previo conocimiento en su aplicaciòn, pero se deben revisar los 6 contratos "SIN INICIAR", para determinar su efectivo cumplimiento o posible liberaciòn. Al considerar los contratos en marcha, se presenta un 66% de ejecuciòn.</t>
  </si>
  <si>
    <t>En primera instancia, se debe revisar y ajustar el Objetivo de esta Estrategia 2, ya que corresponde al Objetivo 2, esto para no generar inconsistencias en la presentaciòn del formato POA2016 e interpretar que podrìa ser del Objetivo 3.
En la secciòn POA 2016 - PROYECTO DE INVERSIÓN la "Meta Actividad" (4) no es consistente con lo consignado en la secciòn PLAN INDICATIVO CUATRIENAL 2015-2018 -IDEAM, cuya meta para 2016 es 1. Lo anterior se debe a la falta de claridad en la formulaciòn de la "Actividad POA 2015" (2016), lo que genera confusiòn al confrontarlos con los 4 productos del cuatrienio.
Aunque el avance (60%) se registra alineado con la gestiòn que se ha desarrollado para lograr la "Meta Actividad", se debe revisar y registrar conforme a lo establecido en el "Indicador Actividad".
Se puede considerar que los "productos temàticos generados" son elementos del "Programa de seguimiento, monitoreo y evaluación de los ecosistemas continentales, y sus servicios ecosistémicos".
Al aclarar que se han definido 2 productos para 2016, que corresponden, uno a la versiòn 2 del Cubo de Datos y otro al mapa de ecosistemas, que a su vez, se despilegan en 2 subproductos, se entiende que se trata de los 4 productos del POA2016. Lo anterior conlleva a revisar el proceso de planeaciòn, que de manera previa se adelanta para la definiciòn de actividades de la vigencia, con el fìn de disponer de una identificaciòn consistente de metas e indicadores. 
Con relaciòn a la ejecuciòn de recursos se debe definir la ejecuciòn de contratos por $183`692.154 que estàn previstos o de lo contrario, informar con oportunidad a la instancia pertinente para la dispocisiòn de dichos recursos. Al considerar los contratos iniciados, se presenta un 78% de ejecuciòn.</t>
  </si>
  <si>
    <r>
      <rPr>
        <u/>
        <sz val="10"/>
        <color theme="1"/>
        <rFont val="Arial"/>
        <family val="2"/>
      </rPr>
      <t>JUN/16</t>
    </r>
    <r>
      <rPr>
        <sz val="10"/>
        <color theme="1"/>
        <rFont val="Arial"/>
        <family val="2"/>
      </rPr>
      <t xml:space="preserve">: Se han publicado el boletines climático de  mayo y junio en:http://www.ideam.gov.co/web/tiempo-y-clima/climatologico-mensual. El boletin del altiplano cundiboyacense al día se estima que este para el 21 de julio de 2016. </t>
    </r>
    <r>
      <rPr>
        <sz val="10"/>
        <color rgb="FFFF0000"/>
        <rFont val="Arial"/>
        <family val="2"/>
      </rPr>
      <t xml:space="preserve">Avance 48%.
</t>
    </r>
    <r>
      <rPr>
        <u/>
        <sz val="10"/>
        <color rgb="FFFF0000"/>
        <rFont val="Arial"/>
        <family val="2"/>
      </rPr>
      <t>AGT/16</t>
    </r>
    <r>
      <rPr>
        <sz val="10"/>
        <color rgb="FFFF0000"/>
        <rFont val="Arial"/>
        <family val="2"/>
      </rPr>
      <t>:</t>
    </r>
    <r>
      <rPr>
        <sz val="10"/>
        <rFont val="Arial"/>
        <family val="2"/>
      </rPr>
      <t xml:space="preserve"> Se han publicado el boletines climático de mayo y junio en:http://www.ideam.gov.co/web/tiempo-y-clima/climatologico-mensual. El boletin del altiplano cundiboyacense al día se estima que este para el 21 de julio de 2016.</t>
    </r>
    <r>
      <rPr>
        <sz val="10"/>
        <color rgb="FFFF0000"/>
        <rFont val="Arial"/>
        <family val="2"/>
      </rPr>
      <t xml:space="preserve"> Avance 64%.</t>
    </r>
  </si>
  <si>
    <r>
      <rPr>
        <u/>
        <sz val="10"/>
        <color theme="1"/>
        <rFont val="Arial"/>
        <family val="2"/>
      </rPr>
      <t>JUN/16</t>
    </r>
    <r>
      <rPr>
        <sz val="10"/>
        <color theme="1"/>
        <rFont val="Arial"/>
        <family val="2"/>
      </rPr>
      <t xml:space="preserve">: Se empezó el análisis de la información disponible en el banco de datos SISDHIM. </t>
    </r>
    <r>
      <rPr>
        <sz val="10"/>
        <color rgb="FFFF0000"/>
        <rFont val="Arial"/>
        <family val="2"/>
      </rPr>
      <t xml:space="preserve">Avance 9%.
</t>
    </r>
    <r>
      <rPr>
        <u/>
        <sz val="10"/>
        <color rgb="FFFF0000"/>
        <rFont val="Arial"/>
        <family val="2"/>
      </rPr>
      <t>AGT/16</t>
    </r>
    <r>
      <rPr>
        <sz val="10"/>
        <color rgb="FFFF0000"/>
        <rFont val="Arial"/>
        <family val="2"/>
      </rPr>
      <t>:</t>
    </r>
    <r>
      <rPr>
        <sz val="10"/>
        <color theme="1"/>
        <rFont val="Arial"/>
        <family val="2"/>
      </rPr>
      <t xml:space="preserve"> </t>
    </r>
    <r>
      <rPr>
        <sz val="10"/>
        <rFont val="Arial"/>
        <family val="2"/>
      </rPr>
      <t>Se ha depurado los datos mensuales de precipitación para 598 estaciones de la serie 1971-2016. Se ubicaron las àreas de acciòn de los diferentes indicadores de variabilidad climàtico para los anàlisis posteriores.</t>
    </r>
    <r>
      <rPr>
        <sz val="10"/>
        <color rgb="FFFF0000"/>
        <rFont val="Arial"/>
        <family val="2"/>
      </rPr>
      <t xml:space="preserve"> Avance 15%.</t>
    </r>
  </si>
  <si>
    <r>
      <rPr>
        <u/>
        <sz val="10"/>
        <color theme="1"/>
        <rFont val="Arial"/>
        <family val="2"/>
      </rPr>
      <t>JUN/16</t>
    </r>
    <r>
      <rPr>
        <sz val="10"/>
        <color theme="1"/>
        <rFont val="Arial"/>
        <family val="2"/>
      </rPr>
      <t xml:space="preserve">: Para 2016 no se tiene previsto el desarrollo de un modelo de pronóstico del tiempo como lo indica la celda F51 de este archivo. No obstante, los modelos permanecen operativos todos los días y publicados en:
modelos.ideam.gov.co bart.ideam.gov.co/wrfideam. </t>
    </r>
    <r>
      <rPr>
        <sz val="10"/>
        <color rgb="FFFF0000"/>
        <rFont val="Arial"/>
        <family val="2"/>
      </rPr>
      <t xml:space="preserve">Avance 48%.
</t>
    </r>
    <r>
      <rPr>
        <u/>
        <sz val="10"/>
        <color rgb="FFFF0000"/>
        <rFont val="Arial"/>
        <family val="2"/>
      </rPr>
      <t>AGT/16</t>
    </r>
    <r>
      <rPr>
        <sz val="10"/>
        <color rgb="FFFF0000"/>
        <rFont val="Arial"/>
        <family val="2"/>
      </rPr>
      <t xml:space="preserve">: </t>
    </r>
    <r>
      <rPr>
        <sz val="10"/>
        <rFont val="Arial"/>
        <family val="2"/>
      </rPr>
      <t xml:space="preserve">Para 2016 no se tiene previsto el desarrollo de un modelo de pronóstico del tiempo como lo indica la celda F51 de este archivo. No obstante, los modelos permanecen operativos todos los días y publicados en:
modelos.ideam.gov.co bart.ideam.gov.co/wrfideam. </t>
    </r>
    <r>
      <rPr>
        <sz val="10"/>
        <color rgb="FFFF0000"/>
        <rFont val="Arial"/>
        <family val="2"/>
      </rPr>
      <t>Avance 64%.</t>
    </r>
  </si>
  <si>
    <r>
      <rPr>
        <u/>
        <sz val="10"/>
        <color theme="1"/>
        <rFont val="Arial"/>
        <family val="2"/>
      </rPr>
      <t>JUN/16</t>
    </r>
    <r>
      <rPr>
        <sz val="10"/>
        <color theme="1"/>
        <rFont val="Arial"/>
        <family val="2"/>
      </rPr>
      <t xml:space="preserve">: El Grupo de Meteorología Aeronaútica elabora horariamente reportes meteorológicos para la aeronavegación y sus reportes a nivel horario estan publicados y actualizados en este enlace:
http://bart.ideam.gov.co/metares/. </t>
    </r>
    <r>
      <rPr>
        <sz val="10"/>
        <color rgb="FFFF0000"/>
        <rFont val="Arial"/>
        <family val="2"/>
      </rPr>
      <t xml:space="preserve">Avance 48%.
</t>
    </r>
    <r>
      <rPr>
        <u/>
        <sz val="10"/>
        <color rgb="FFFF0000"/>
        <rFont val="Arial"/>
        <family val="2"/>
      </rPr>
      <t>AGT/16</t>
    </r>
    <r>
      <rPr>
        <sz val="10"/>
        <color rgb="FFFF0000"/>
        <rFont val="Arial"/>
        <family val="2"/>
      </rPr>
      <t xml:space="preserve">: </t>
    </r>
    <r>
      <rPr>
        <sz val="10"/>
        <rFont val="Arial"/>
        <family val="2"/>
      </rPr>
      <t>El Grupo de Meteorología Aeronaútica elabora horariamente reportes meteorológicos para la aeronavegación y sus reportes a nivel horario estan publicados y actualizados en este enlace:
http://bart.ideam.gov.co/metares/.</t>
    </r>
    <r>
      <rPr>
        <sz val="10"/>
        <color rgb="FFFF0000"/>
        <rFont val="Arial"/>
        <family val="2"/>
      </rPr>
      <t xml:space="preserve"> Avance 64%.</t>
    </r>
  </si>
  <si>
    <r>
      <rPr>
        <u/>
        <sz val="10"/>
        <color theme="1"/>
        <rFont val="Arial"/>
        <family val="2"/>
      </rPr>
      <t>JUN/16</t>
    </r>
    <r>
      <rPr>
        <sz val="10"/>
        <color theme="1"/>
        <rFont val="Arial"/>
        <family val="2"/>
      </rPr>
      <t xml:space="preserve">: Programo los scripts para la corrida WRF en modo clima alta resolución (10kmX10km) y generó un script para el cálculo y visualización de divergencia en superficie y altura mensual, bimestral y trimestral. Inicia el proceso de migración para corrida operativa. </t>
    </r>
    <r>
      <rPr>
        <sz val="10"/>
        <color rgb="FFFF0000"/>
        <rFont val="Arial"/>
        <family val="2"/>
      </rPr>
      <t xml:space="preserve">Avance 40%.
</t>
    </r>
    <r>
      <rPr>
        <u/>
        <sz val="10"/>
        <color rgb="FFFF0000"/>
        <rFont val="Arial"/>
        <family val="2"/>
      </rPr>
      <t>AGT/16</t>
    </r>
    <r>
      <rPr>
        <sz val="10"/>
        <color rgb="FFFF0000"/>
        <rFont val="Arial"/>
        <family val="2"/>
      </rPr>
      <t xml:space="preserve">: </t>
    </r>
    <r>
      <rPr>
        <sz val="10"/>
        <rFont val="Arial"/>
        <family val="2"/>
      </rPr>
      <t>Se realizò implementaciòn de la predicciòn climàtica con el modelo ensamblado de la NOAA en baja resoluciòn para precipitaciòn y temperatura media del aire.</t>
    </r>
    <r>
      <rPr>
        <sz val="10"/>
        <color rgb="FFFF0000"/>
        <rFont val="Arial"/>
        <family val="2"/>
      </rPr>
      <t xml:space="preserve"> Avance 55%.</t>
    </r>
  </si>
  <si>
    <r>
      <rPr>
        <u/>
        <sz val="10"/>
        <color theme="1"/>
        <rFont val="Arial"/>
        <family val="2"/>
      </rPr>
      <t>JUN/16</t>
    </r>
    <r>
      <rPr>
        <sz val="10"/>
        <color theme="1"/>
        <rFont val="Arial"/>
        <family val="2"/>
      </rPr>
      <t xml:space="preserve">: En este momento se estan definiendo las estaciones que se tendran en cuenta para generar los indicadores a nivel regional y nacional. </t>
    </r>
    <r>
      <rPr>
        <sz val="10"/>
        <color rgb="FFFF0000"/>
        <rFont val="Arial"/>
        <family val="2"/>
      </rPr>
      <t xml:space="preserve">Avance 25%.
</t>
    </r>
    <r>
      <rPr>
        <u/>
        <sz val="10"/>
        <color rgb="FFFF0000"/>
        <rFont val="Arial"/>
        <family val="2"/>
      </rPr>
      <t>AGT/16</t>
    </r>
    <r>
      <rPr>
        <sz val="10"/>
        <color rgb="FFFF0000"/>
        <rFont val="Arial"/>
        <family val="2"/>
      </rPr>
      <t xml:space="preserve">: </t>
    </r>
    <r>
      <rPr>
        <sz val="10"/>
        <rFont val="Arial"/>
        <family val="2"/>
      </rPr>
      <t>Se han seleccionado las estaciones que se tendrán en cuenta para generar los indicadores a nivel regional y nacional.</t>
    </r>
    <r>
      <rPr>
        <sz val="10"/>
        <color rgb="FFFF0000"/>
        <rFont val="Arial"/>
        <family val="2"/>
      </rPr>
      <t xml:space="preserve"> Avance 50%.</t>
    </r>
  </si>
  <si>
    <r>
      <rPr>
        <u/>
        <sz val="10"/>
        <color theme="1"/>
        <rFont val="Arial"/>
        <family val="2"/>
      </rPr>
      <t>JUN/16</t>
    </r>
    <r>
      <rPr>
        <sz val="10"/>
        <color theme="1"/>
        <rFont val="Arial"/>
        <family val="2"/>
      </rPr>
      <t xml:space="preserve">: Debido a que se han estado atendiendo otros temas inherentes al tema de química de la atmósfera, no se ha logrado avanzar en este aspecto. </t>
    </r>
    <r>
      <rPr>
        <sz val="10"/>
        <color rgb="FFFF0000"/>
        <rFont val="Arial"/>
        <family val="2"/>
      </rPr>
      <t xml:space="preserve">Avance 4%.
</t>
    </r>
    <r>
      <rPr>
        <u/>
        <sz val="10"/>
        <color rgb="FFFF0000"/>
        <rFont val="Arial"/>
        <family val="2"/>
      </rPr>
      <t>AGT/16</t>
    </r>
    <r>
      <rPr>
        <sz val="10"/>
        <color rgb="FFFF0000"/>
        <rFont val="Arial"/>
        <family val="2"/>
      </rPr>
      <t xml:space="preserve">: </t>
    </r>
    <r>
      <rPr>
        <sz val="10"/>
        <rFont val="Arial"/>
        <family val="2"/>
      </rPr>
      <t>Se esta diseñando los algoritmos de cálculo para generar los indicadores.</t>
    </r>
    <r>
      <rPr>
        <sz val="10"/>
        <color rgb="FFFF0000"/>
        <rFont val="Arial"/>
        <family val="2"/>
      </rPr>
      <t xml:space="preserve"> Avance 14%.</t>
    </r>
  </si>
  <si>
    <r>
      <rPr>
        <u/>
        <sz val="10"/>
        <color theme="1"/>
        <rFont val="Arial"/>
        <family val="2"/>
      </rPr>
      <t>JUN/16</t>
    </r>
    <r>
      <rPr>
        <sz val="10"/>
        <color theme="1"/>
        <rFont val="Arial"/>
        <family val="2"/>
      </rPr>
      <t xml:space="preserve">: La Fundación Universitaria Los Libertadores en su reporte del 29 de junio presentó la evaluación de 120,545 gráficas diarias de precipitación para 55 estaciones. En el caso del control de calidad se evidenciaron datos atípicos de temperaturas extremas en 59 estaciones. Con respecto a la base de datos de nivel del mar, entregaron las series niveladas de Tumaco, Buenaventura y Cartagena y se instaló el software SLP64 para control de calidad de la información. </t>
    </r>
    <r>
      <rPr>
        <sz val="10"/>
        <color rgb="FFFF0000"/>
        <rFont val="Arial"/>
        <family val="2"/>
      </rPr>
      <t xml:space="preserve">Avance 30%.
</t>
    </r>
    <r>
      <rPr>
        <u/>
        <sz val="10"/>
        <color rgb="FFFF0000"/>
        <rFont val="Arial"/>
        <family val="2"/>
      </rPr>
      <t>AGT/16</t>
    </r>
    <r>
      <rPr>
        <sz val="10"/>
        <color rgb="FFFF0000"/>
        <rFont val="Arial"/>
        <family val="2"/>
      </rPr>
      <t xml:space="preserve">:  </t>
    </r>
    <r>
      <rPr>
        <sz val="10"/>
        <rFont val="Arial"/>
        <family val="2"/>
      </rPr>
      <t>La Fundación Universitaria Los Libertadores en su reporte del 6 de septiembre presentó la evaluación de 172,155 gráficas diarias de precipitación para 55 estaciones. De las 59 estaciones donde se encontraron datos atípicos, se corrigieron valores de temperatura y precipitación de 47 estaciones; labor realizada con el apoyo de las Àreas Operativas 1, 2, 3, 4, 6 y 8.</t>
    </r>
    <r>
      <rPr>
        <sz val="10"/>
        <color rgb="FFFF0000"/>
        <rFont val="Arial"/>
        <family val="2"/>
      </rPr>
      <t xml:space="preserve"> Avance 57%.</t>
    </r>
  </si>
  <si>
    <r>
      <rPr>
        <u/>
        <sz val="10"/>
        <color theme="1"/>
        <rFont val="Arial"/>
        <family val="2"/>
      </rPr>
      <t>JUN/16</t>
    </r>
    <r>
      <rPr>
        <sz val="10"/>
        <color theme="1"/>
        <rFont val="Arial"/>
        <family val="2"/>
      </rPr>
      <t>: La Universidad Nacional de Colombia ya entregó el primer entregable donde presenta control de calidad aplicado a los datos diarios de la temperatura.</t>
    </r>
    <r>
      <rPr>
        <sz val="10"/>
        <color rgb="FFFF0000"/>
        <rFont val="Arial"/>
        <family val="2"/>
      </rPr>
      <t xml:space="preserve">Avance 25%.
</t>
    </r>
    <r>
      <rPr>
        <u/>
        <sz val="10"/>
        <color rgb="FFFF0000"/>
        <rFont val="Arial"/>
        <family val="2"/>
      </rPr>
      <t>AGT/16</t>
    </r>
    <r>
      <rPr>
        <sz val="10"/>
        <color rgb="FFFF0000"/>
        <rFont val="Arial"/>
        <family val="2"/>
      </rPr>
      <t xml:space="preserve">: </t>
    </r>
    <r>
      <rPr>
        <sz val="10"/>
        <rFont val="Arial"/>
        <family val="2"/>
      </rPr>
      <t>La Universidad Nacional de Colombia entrego las serie diaria de temperatura media, mínima y máxima para el perìodo 1974-2014 en formato Excel.</t>
    </r>
    <r>
      <rPr>
        <sz val="10"/>
        <color rgb="FFFF0000"/>
        <rFont val="Arial"/>
        <family val="2"/>
      </rPr>
      <t xml:space="preserve"> Avance 75%.</t>
    </r>
  </si>
  <si>
    <r>
      <rPr>
        <u/>
        <sz val="10"/>
        <color theme="1"/>
        <rFont val="Arial"/>
        <family val="2"/>
      </rPr>
      <t>JUN/16</t>
    </r>
    <r>
      <rPr>
        <sz val="10"/>
        <color theme="1"/>
        <rFont val="Arial"/>
        <family val="2"/>
      </rPr>
      <t xml:space="preserve">: Se realizó el cálculo estadístico en número de eventos de sequía y cálculo de los períodos de retorno de la serie del índice seleccionado. Se calcularon las tendencias de las series de precipitación. El consultor entrego informe técnico, tablas y figuras de soporte. </t>
    </r>
    <r>
      <rPr>
        <sz val="10"/>
        <color rgb="FFFF0000"/>
        <rFont val="Arial"/>
        <family val="2"/>
      </rPr>
      <t xml:space="preserve">Avance 40%.
</t>
    </r>
    <r>
      <rPr>
        <u/>
        <sz val="10"/>
        <color rgb="FFFF0000"/>
        <rFont val="Arial"/>
        <family val="2"/>
      </rPr>
      <t>AGT/16</t>
    </r>
    <r>
      <rPr>
        <sz val="10"/>
        <color rgb="FFFF0000"/>
        <rFont val="Arial"/>
        <family val="2"/>
      </rPr>
      <t xml:space="preserve">: </t>
    </r>
    <r>
      <rPr>
        <sz val="10"/>
        <rFont val="Arial"/>
        <family val="2"/>
      </rPr>
      <t>Se elaboraron los balances hídricos, se obtuvieron los índices de deficit y se calcularon las fechas óptimas de siembra de acuerdo con el período de crecimiento.</t>
    </r>
    <r>
      <rPr>
        <sz val="10"/>
        <color rgb="FFFF0000"/>
        <rFont val="Arial"/>
        <family val="2"/>
      </rPr>
      <t xml:space="preserve"> Avance 60%.</t>
    </r>
  </si>
  <si>
    <t>Se dispone de elementos de modelación sobre alertas e inundaciones, como insumo.</t>
  </si>
  <si>
    <t>Se dispone de la evaluación de 373.918 gráficas diarias de precipitación para 55 estaciones, reportadas por la U. Los Libertadores.
De las 59 estaciones con datos atípicos, se corrigieron valores de temperatura y precipitación de 47 estaciones.
Se indica que este aspecto es complementario con la actividad 6 relacionado con el documento de la sequia.</t>
  </si>
  <si>
    <t>Se adelanta el contrato 109/2016 por $ 37`785.600.</t>
  </si>
  <si>
    <t>INFORME 100%
RECURSOS -Sin apropiaciòn</t>
  </si>
  <si>
    <r>
      <rPr>
        <u/>
        <sz val="9"/>
        <color theme="1"/>
        <rFont val="Arial"/>
        <family val="2"/>
      </rPr>
      <t>JUN/16</t>
    </r>
    <r>
      <rPr>
        <sz val="9"/>
        <color theme="1"/>
        <rFont val="Arial"/>
        <family val="2"/>
      </rPr>
      <t xml:space="preserve">: Se culmina la actividad con la publicación, serealizan ajustes al PAAC (versión 2), que serán publicados en el mes de agosto, una vez sean aprobados por las instancias respectivas, de acuerdo a las recomendaciones de la OCI y del DAFP. Se realizan los documentos especificados en el PAAC. https://goo.gl/9rAqnK. </t>
    </r>
    <r>
      <rPr>
        <sz val="9"/>
        <color rgb="FFFF0000"/>
        <rFont val="Arial"/>
        <family val="2"/>
      </rPr>
      <t>Avance 100%.</t>
    </r>
  </si>
  <si>
    <r>
      <rPr>
        <u/>
        <sz val="10"/>
        <rFont val="Arial"/>
        <family val="2"/>
      </rPr>
      <t>JUN/16</t>
    </r>
    <r>
      <rPr>
        <sz val="10"/>
        <rFont val="Arial"/>
        <family val="2"/>
      </rPr>
      <t>:</t>
    </r>
    <r>
      <rPr>
        <sz val="10"/>
        <color rgb="FFFF0000"/>
        <rFont val="Arial"/>
        <family val="2"/>
      </rPr>
      <t xml:space="preserve"> </t>
    </r>
    <r>
      <rPr>
        <sz val="10"/>
        <rFont val="Arial"/>
        <family val="2"/>
      </rPr>
      <t>Se recibió la propuesta del IIAP sobre los contenidos del informe, así mismo, se desarrollo una propuesta de respuesta al mismo, se definieron los Estudios Previos para la contratación del profesional de apoyo para la consolidación del IEARNN y se avanzó en la consolidación y revisión de documentos que alimentarían el informe. Soportes: X:\EstudiosAmbientales\ORDENAMIENTO AMBIENTAL DEL
TERRITORIO\2016\Planeación\Indicadores POA bimensuales\3. Soportes Mayo-Junio\1. PublicacionesPeriódicas (informes)\1. Informe EARN.</t>
    </r>
    <r>
      <rPr>
        <sz val="10"/>
        <color rgb="FFFF0000"/>
        <rFont val="Arial"/>
        <family val="2"/>
      </rPr>
      <t xml:space="preserve">Avance 45%.
AGT/16: </t>
    </r>
    <r>
      <rPr>
        <sz val="10"/>
        <rFont val="Arial"/>
        <family val="2"/>
      </rPr>
      <t>Se ha hecho la recopilación de información de los diferentes indicadores que se van a integrar al informe. De igual manera se ha comenzado la recepción de información de los institutos que conforman el SINA, tales como el IAvH y el Invemar. Se han llevado a cabo las reuniones para hacer la revisión del avance del informe con la subdirectoria y el equipo encargado de la elaboración del informe. Avance 55%.</t>
    </r>
  </si>
  <si>
    <r>
      <t xml:space="preserve">Se adelanta el contrato </t>
    </r>
    <r>
      <rPr>
        <sz val="10"/>
        <color rgb="FFFF0000"/>
        <rFont val="Arial"/>
        <family val="2"/>
      </rPr>
      <t xml:space="preserve">X </t>
    </r>
    <r>
      <rPr>
        <sz val="10"/>
        <rFont val="Arial"/>
        <family val="2"/>
      </rPr>
      <t>y registra una ejecuciòn por $34`406.400.</t>
    </r>
  </si>
  <si>
    <r>
      <rPr>
        <u/>
        <sz val="10"/>
        <rFont val="Arial"/>
        <family val="2"/>
      </rPr>
      <t>JUN/16</t>
    </r>
    <r>
      <rPr>
        <sz val="10"/>
        <rFont val="Arial"/>
        <family val="2"/>
      </rPr>
      <t xml:space="preserve">: La Subdirección ha documentado la segunda fase con el envío al DANE de los documentos elaborados en el marco del Plan de Mejoramiento. Así mismo, ha participado en las reuniones de seguimiento a los planes de mejoramiento organizados por la Subdirección de Ecosistemas, Grupo SIAC, y ha completado los formatos de seguimiento al plan de mejoramiento. De otra parte, se formularon los Estudios Previos para la contratación de la mejora estadística para el proceso de calidad del aire. Soportes:X:\EstudiosAmbientales\ORDENAMIENTO AMBIENTAL DEL TERRITORIO\2016\Planeación\Indicadores POA bimensuales\3. Soportes Mayo-Junio. </t>
    </r>
    <r>
      <rPr>
        <sz val="10"/>
        <color rgb="FFFF0000"/>
        <rFont val="Arial"/>
        <family val="2"/>
      </rPr>
      <t xml:space="preserve">Avance 20%.
AGT/16: </t>
    </r>
    <r>
      <rPr>
        <sz val="10"/>
        <rFont val="Arial"/>
        <family val="2"/>
      </rPr>
      <t>Se ha hecho la contratación de un profesional para el desarrollo del plan de mejoramiento de las operaciones estadísticas de monitoreo y seguimiento de la calidad del aire, en este sentido se elaboró el CALENDARIO PARA LA DIFUSIÓN ANUAL DEL INFORME DEL ESTADO DE LA CALIDAD DEL AIRE EN COLOMBIA de forma coordinada con los profesionales del grupo Sisaire, De acuerdo al plan de mejoramiento establecido entre el IDEAM y DANE, para el hallazgo 3. PE_LD se instauran dos actividades, entre las que se encuentra “Establecer métodos de control para dar cumplimiento al calendario de difusión” y como producto el anexo al documento metodológico sobre el "Diseño de Métodos  y  Mecanismos para el Control de Calidad". Una vez revisados los lineamientos del DANE y la documentación con que contaba la operación estadística, se decidió elaborar un documento adicional denominado “Plan de Difusión de los Productos del Procesamiento Estadístico del Sisare”, que reemplaza al anexo del documento metodológico sobre Diseño de Métodos  y  Mecanismos para el Control de Calidad" y permite dar cumplimiento a la primera actividad a realizar para el levantamiento del hallazgo.</t>
    </r>
    <r>
      <rPr>
        <sz val="10"/>
        <color rgb="FFFF0000"/>
        <rFont val="Arial"/>
        <family val="2"/>
      </rPr>
      <t xml:space="preserve"> Avance 40%.</t>
    </r>
  </si>
  <si>
    <r>
      <t xml:space="preserve">Se adelanta el contrato </t>
    </r>
    <r>
      <rPr>
        <sz val="10"/>
        <color rgb="FFFF0000"/>
        <rFont val="Arial"/>
        <family val="2"/>
      </rPr>
      <t>x</t>
    </r>
    <r>
      <rPr>
        <sz val="10"/>
        <rFont val="Arial"/>
        <family val="2"/>
      </rPr>
      <t>.</t>
    </r>
  </si>
  <si>
    <t xml:space="preserve">Se ha documentado la segunda fase en el marco del Plan de Mejoramiento.
Se ha participado en las reuniones de seguimiento a los planes de mejoramiento organizados por la Subdirección de Ecosistemas, Grupo SIAC y ha completado los formatos de seguimiento al plan de mejoramiento.
Se indica que se han identificado e implementado 6 de las 12 actividades planteadas por el àrea.
</t>
  </si>
  <si>
    <r>
      <t xml:space="preserve">La Subdirección ha realizado las gestiones correspondientes a la implementaciòn de las actividades formuladas, de las cuales se han implementado 6 de las 12 planteadas por el àrea. </t>
    </r>
    <r>
      <rPr>
        <sz val="10"/>
        <color rgb="FFFF0000"/>
        <rFont val="Arial"/>
        <family val="2"/>
      </rPr>
      <t>Identificar las 12 actividades y las 6</t>
    </r>
    <r>
      <rPr>
        <sz val="10"/>
        <rFont val="Arial"/>
        <family val="2"/>
      </rPr>
      <t xml:space="preserve">
La ejecuciòn presupuestal es de </t>
    </r>
    <r>
      <rPr>
        <sz val="10"/>
        <color rgb="FFFF0000"/>
        <rFont val="Arial"/>
        <family val="2"/>
      </rPr>
      <t>x</t>
    </r>
    <r>
      <rPr>
        <sz val="10"/>
        <rFont val="Arial"/>
        <family val="2"/>
      </rPr>
      <t>.</t>
    </r>
  </si>
  <si>
    <t>ACCIONES 50%
RECURSOS x%</t>
  </si>
  <si>
    <r>
      <rPr>
        <u/>
        <sz val="10"/>
        <rFont val="Arial"/>
        <family val="2"/>
      </rPr>
      <t>JUN/16</t>
    </r>
    <r>
      <rPr>
        <sz val="10"/>
        <rFont val="Arial"/>
        <family val="2"/>
      </rPr>
      <t xml:space="preserve">: La Subdirección consolidó las cifras sobre el estado de avance en la implementación del Inventario Nacional de PCB a 21 de junio de 2016. En este se muestra la información correspondiente a los periodos de balance 2012, 2013, 2014 y 2015, que a la fecha los usuarios han realizado el cierre del formato en el Inventario Nacional de PCB. Se dió inicio al informe de PCB para el periodo de balance 2014. </t>
    </r>
    <r>
      <rPr>
        <sz val="10"/>
        <color rgb="FFFF0000"/>
        <rFont val="Arial"/>
        <family val="2"/>
      </rPr>
      <t xml:space="preserve">Avance 30%.
AGT/16: </t>
    </r>
    <r>
      <rPr>
        <sz val="10"/>
        <rFont val="Arial"/>
        <family val="2"/>
      </rPr>
      <t>Se hizo la descarga de las sábanas de información de los meses de Julio y Agosto las cuales son el insumo para la elaboración del informe. Cabe resaltar que la información enviada por las autoridades puede ser trnasmitida hasta el dia 31 de Julio.</t>
    </r>
    <r>
      <rPr>
        <sz val="10"/>
        <color rgb="FFFF0000"/>
        <rFont val="Arial"/>
        <family val="2"/>
      </rPr>
      <t xml:space="preserve"> Avance 30%.</t>
    </r>
  </si>
  <si>
    <t>DOCUMENTOS ND -Avance de gestiòn
RECURSOS 0%</t>
  </si>
  <si>
    <t>DOCUMENTOS ND -Avance de gestiòn
RECURSOS 60%</t>
  </si>
  <si>
    <t>DOCUMENTOS ND -Avance de gestiòn
RECURSOS 88%</t>
  </si>
  <si>
    <r>
      <rPr>
        <u/>
        <sz val="10"/>
        <rFont val="Arial"/>
        <family val="2"/>
      </rPr>
      <t>JUN/16</t>
    </r>
    <r>
      <rPr>
        <sz val="10"/>
        <rFont val="Arial"/>
        <family val="2"/>
      </rPr>
      <t xml:space="preserve">: La última versión de la base de datos de SISAIRE fue entregada en abril por la Oficina de Informática del IDEAM. En dicho mes fue procesada nuevamente mediante la herramienta R para generar las versiones más recientes de gráficas y tablas que permitieron continuar con su depuración y análisis. Se recibieron las siguientes bases de datos adicionales: Área Metropolitana del Valle de Aburrá (AMVA), Corporación Autónoma Regional para la Defensa de la Meseta de Bucaramanga, (CDMB) Secretaría Distrital de Ambiente de Bogotá (SDA). Para AMVA se logró gestionar información del incidente de calidad del aire presentado este año para ser incluido en el informe.Soportes: X:\EstudiosAmbientales\ORDENAMIENTO AMBIENTAL DEL. </t>
    </r>
    <r>
      <rPr>
        <sz val="10"/>
        <color rgb="FFFF0000"/>
        <rFont val="Arial"/>
        <family val="2"/>
      </rPr>
      <t xml:space="preserve">Avance 45%.
AGT/16: </t>
    </r>
    <r>
      <rPr>
        <sz val="10"/>
        <rFont val="Arial"/>
        <family val="2"/>
      </rPr>
      <t>A partir de los resultados obtenidos del cruce de datos de concentraciones de contaminantes atmosféricos con variables meteorológicas, el 19 de julio de 2016 se llevó a cabo, con el apoyo de la Ingeniera Ana María Hernández, una reunión de socialización de resultados con el Subdirector de Meteorología, Franklyn Ruiz y los profesionales Henry Benavides y Luis Barreto, pertenecientes a la misma dependencia. La propuesta de presentación para la respectiva socialización fue enviada a la Ingeniera Ana María Hernández el 19 de julio de 2016. Con base en la consulta entregada por la Oficina de Informática del IDEAM en el mes de julio, se realizó un nuevo procesamiento de la información mediante la herramienta de programación R con el objetivo de identificar novedades en la base de datos de SISAIRE. Los cambios corresponden principalmente a los resultados de la gestión llevada a cabo con las autoridades ambientales en meses pasados en cuanto a la revisión de posibles inconsistencias en relación con los datos de calidad del aire de 2015 y con los datos meteorológicos de 2011 a 2015. De igual manera se continuo con la gestión en las autoridades ambientales para la información de datos de los sistemas de calidad del aire.</t>
    </r>
    <r>
      <rPr>
        <sz val="10"/>
        <color rgb="FFFF0000"/>
        <rFont val="Arial"/>
        <family val="2"/>
      </rPr>
      <t xml:space="preserve"> Avance 70%.</t>
    </r>
  </si>
  <si>
    <t>Se adelanta la identificaciòn de subactividades para el desarrollo del documento.
La Oficina de Informática procesò mediante la herramienta R la informaciòn para generar versiones más recientes de gráficas y tablas que permitieron continuar con su depuración y análisis. Se recibieron las bases de datos adicionales de: Área Metropolitana del Valle de Aburrá (AMVA), Corporación Autónoma Regional para la Defensa de la Meseta de Bucaramanga, (CDMB) Secretaría Distrital de Ambiente de Bogotá (SDA).</t>
  </si>
  <si>
    <r>
      <t xml:space="preserve">Se adelanta el contrato </t>
    </r>
    <r>
      <rPr>
        <sz val="10"/>
        <color rgb="FFFF0000"/>
        <rFont val="Arial"/>
        <family val="2"/>
      </rPr>
      <t>x</t>
    </r>
    <r>
      <rPr>
        <sz val="10"/>
        <rFont val="Arial"/>
        <family val="2"/>
      </rPr>
      <t xml:space="preserve"> y registra una ejecuciòn por $64`151.504.</t>
    </r>
  </si>
  <si>
    <t>Aunque las gestiones se concentran en la valoraciòn y consolidaciòn de informaciòn, no se dispone de la identificaciòn plena de los componentes y etapas del documento.
Ejecuciòn presupuestal de 88%</t>
  </si>
  <si>
    <r>
      <rPr>
        <u/>
        <sz val="10"/>
        <rFont val="Arial"/>
        <family val="2"/>
      </rPr>
      <t>JUN/16</t>
    </r>
    <r>
      <rPr>
        <sz val="10"/>
        <rFont val="Arial"/>
        <family val="2"/>
      </rPr>
      <t xml:space="preserve">: El día 31 de Mayo de 2016, el Ministerio de Ambiente desde la Dirección de Asuntos Sectorial y Urbanos hizo envío de los comentarios a la primera versión del Informe de RESPEL. Para el mes de Mayo y Junio se recopilaron dichos comentarios, se analizaron y se envío una nueva versión ajustada para revisión final. De acuerdo con el porcentaje de transmisión de los registros a 30 de junio de 2016 del periodo de balance 2015, se considera pertinente avanzar con la elaboración del informe 2013 a 2015. Soportes: X:\Estudios Ambientales\ORDENAMIENTO AMBIENTAL DELTERRITORIO\2016\Planeación\Indicadores POAbimensuales\3. Soportes Mayo-Junio. </t>
    </r>
    <r>
      <rPr>
        <sz val="10"/>
        <color rgb="FFFF0000"/>
        <rFont val="Arial"/>
        <family val="2"/>
      </rPr>
      <t xml:space="preserve">Avance 55%.
AGT/16: </t>
    </r>
    <r>
      <rPr>
        <sz val="10"/>
        <rFont val="Arial"/>
        <family val="2"/>
      </rPr>
      <t>Teniendo en cuenta que la información oficial con la cual se elaborará el Informe Nacional Generación y Manejo de Residuos o Desechos Peligrosos en Colombia año 2015 sólo se puede bajar de la plataforma del IDEAM hasta el 9 de septiembre del 2016, se realizaron los siguientes avances a corte 31 de agosto:• Introducción (Se presenta un borrador el cual será alimentado y revisado permanentemente, con la información que se obtenga dentro del proceso de construcción del documento).• Antecedentes (Se elaboró grafica con la información encontrada en la página www. basel.int, sobre la generación de residuos peligrosos a nivel mundial).• CAPITULO 3: Como avance del capítulo 3 se presenta la siguiente información: 1. Plantilla para elaborar los gráficos de generación de residuos peligrosos por jurisdicción de Autoridad Ambiental año 2015). 2. Plantillas para procesamiento de datos por autoridad ambiental.</t>
    </r>
    <r>
      <rPr>
        <sz val="10"/>
        <color rgb="FFFF0000"/>
        <rFont val="Arial"/>
        <family val="2"/>
      </rPr>
      <t xml:space="preserve"> Avance 65%.
</t>
    </r>
  </si>
  <si>
    <t>Se dispone de una primera versiòn del informe RESPEL del 2013 al 2015. Al presentar inconvenientes en la informaciòn disponible a partir de septiembre 2016, se realizaron ajustes a varios capìtulos del informe.</t>
  </si>
  <si>
    <t>La Contralorìa General de la Repùblica (CGR) evidenciò debilidad en el alcance de esta actividad y de su producto, en el hallazgo 16 del informe de auditorìa vigencia 2015. 
Se requiere claridad en cuanto al aporte de los documentos de la actividad, para desarrollar los 3 "Documentos de investigación publicados", que son los productos del Plan Indicativo Cuatrienal de la meta 2016, ya que no se tienen identificados.
Con relaciòn al documento se tiene como NO DISPONIBLE (ND).
Se debe ajustar con apoyo de la Oficina Asesora de Planeaciòn, el Plan Indicativo Cuatrienal, para no generar confusiòn en la presentaciòn de los documentos.
Ejecuciòn presupuestal de 60%.</t>
  </si>
  <si>
    <t>La versiòn inicial del informe RESPEL considera los años 2013 al 2015, sin embargo no se determinan acciones sobre el informe de 2016.
Dada la complementariedad del documento con la gran actividad del cuatrienio y con el objeto de coadyuvar en las acciones para subsanar las observaciones de la CGR, se sugiere fortalecer dicha actividad por medio del proceso de contrataciòn que se preve y lograr la revisiòn total de los componentes del informe.
No hay ejecuciòn presupuestal a junio/16.</t>
  </si>
  <si>
    <r>
      <rPr>
        <u/>
        <sz val="10"/>
        <rFont val="Arial"/>
        <family val="2"/>
      </rPr>
      <t>JUN/16</t>
    </r>
    <r>
      <rPr>
        <sz val="10"/>
        <rFont val="Arial"/>
        <family val="2"/>
      </rPr>
      <t xml:space="preserve">: Continúan las reuniones con la Comisión de Ordenamiento Territorial para la definición del Estatuto de uso del suelo en Colombia, en donde se definen las preguntas y alcance de la misma. Soportes: X:\EstudiosAmbientales\ORDENAMIENTO AMBIENTAL DEL
TERRITORIO\2016\Planeación\Indicadores POA bimensuales\3. Soportes Mayo-Junio. </t>
    </r>
    <r>
      <rPr>
        <sz val="10"/>
        <color rgb="FFFF0000"/>
        <rFont val="Arial"/>
        <family val="2"/>
      </rPr>
      <t xml:space="preserve">Avance 15%.
AGT/16: </t>
    </r>
    <r>
      <rPr>
        <sz val="10"/>
        <rFont val="Arial"/>
        <family val="2"/>
      </rPr>
      <t>No se han presentado avances dentro de la actividad, se sigue asistiendo a las reuniones del COT y se ha apoyado la creación del estatuto de uso adecuado del territorio. En este mismo sentido se comenzó la elaboración de un documento con conceptos sobre ordenamiento ambiental del territorio y la competencia del IDEAM en temas de ordenamiento con otras entidades que requieran servicios.</t>
    </r>
    <r>
      <rPr>
        <sz val="10"/>
        <color rgb="FFFF0000"/>
        <rFont val="Arial"/>
        <family val="2"/>
      </rPr>
      <t xml:space="preserve"> Avance 20%.</t>
    </r>
  </si>
  <si>
    <t>DOCUMENTOS ND
RECURSOS 0%</t>
  </si>
  <si>
    <t>Aunque se han adelantado gestiones con instancias pertinentes y se dispone de la identificaciòn de varias subactividades, se contempla la posibilidad de desistir del proyecto, dado el poco avance registrado.</t>
  </si>
  <si>
    <t>Dadas las condiciones del proyecto y ante la posible reformulaciòn del mismo, se recomienda coordinar con la Oficina Asesora de Planeaciòn y agotar los procedimientos establecidos. 
No hay ejecuciòn de recursos.
Posible liberaciòn.</t>
  </si>
  <si>
    <r>
      <rPr>
        <u/>
        <sz val="10"/>
        <rFont val="Arial"/>
        <family val="2"/>
      </rPr>
      <t>JUN/16</t>
    </r>
    <r>
      <rPr>
        <sz val="10"/>
        <rFont val="Arial"/>
        <family val="2"/>
      </rPr>
      <t xml:space="preserve">: La transmisión a 30 de junio de 2016 es de 12.565 registros (2.046 del RUA Manufacturero, 110 del inventario PCB y 10.409 de RESPEL), superando antes de finalizar el año, la meta propuesta de 12.000 registros en estado transmitido por las autoridades ambientales. Este logro ha sido el resultado del envío por parte de la Subdirección, del estado de la transmisión a cada autoridad ambiental y del apoyo solicitado al Ministerio de Ambiente y Desarrollo Sostenible, para la mejora en la oportunidad de reporte de la información. Soportes: X:\Estudios Ambientales\ORDENAMIENTO AMBIENTAL DEL. </t>
    </r>
    <r>
      <rPr>
        <sz val="10"/>
        <color rgb="FFFF0000"/>
        <rFont val="Arial"/>
        <family val="2"/>
      </rPr>
      <t xml:space="preserve">Avance 47%.
AGT/16: </t>
    </r>
    <r>
      <rPr>
        <sz val="10"/>
        <rFont val="Arial"/>
        <family val="2"/>
      </rPr>
      <t>La transmisión a 31 de Agosto de 2016 es de 13579 registros ( 2323 del RUA Manufacturero, 264 del inventario PCB  y  10.992 de RESPEL), superando antes de finalizar el año, la meta propuesta de 12.000 registros en estado transmitido por las autoridades ambientales.  Este logro ha sido el resultado del envío por parte de la Subdirección, del estado de la transmisión a cada autoridad ambiental y del apoyo solicitado al Ministerio de Ambiente y Desarrollo Sostenible, para la mejora en la oportunidad de reporte de la información.</t>
    </r>
    <r>
      <rPr>
        <sz val="10"/>
        <color rgb="FFFF0000"/>
        <rFont val="Arial"/>
        <family val="2"/>
      </rPr>
      <t xml:space="preserve"> Avance 100%.</t>
    </r>
  </si>
  <si>
    <t>Esta actividad se asocia con la actividad 4 de la Subdirecciòn de Ecosistemas e Informaciòn Ambiental (Fortalecer SIAC), por tanto los recursos se direccionan al contrato para la elaboraciòn del pliego de condiciones.
El àrea adelantò los estudios previos de este proceso.
Consiste en recibir informaciòn de la autoridad ambiental, que sirve de insumo para generar los informes o documentos pertinentes.
La meta se plantea como promedio sobre lo recibido en los ùltimos años sin conocer a cabalidad si este nùmero se va a cumplir.
Se dispone de los estudios previos para continuar con el proceso de concurso de mèritos.
A la fecha se supera la meta propuesta de 12.000 registros alcanzando los 13.579 registros en estado transmitido por las autoridades ambientales, producto de la gestiòn adelantada ante el Ministerio de Ambiente y Desarrollo Sostenible, para la mejora en la oportunidad del reporte de la información.</t>
  </si>
  <si>
    <t>Del total de los recursos $771`498.590, se registran $752`076.723 como programados mediante contratos, de los cuales solo hay 2 en ejecuciòn ($102`178.133).
De otra parte los recursos de la actividad 7 de la Subdirecciòn de Estudios Ambientales se direccionan para fortalecer este proyecto.</t>
  </si>
  <si>
    <t>Los recursos se destinan para fortalecer el SIAC.
A la fecha no hay ejecuciòn de recursos.</t>
  </si>
  <si>
    <t>Si bien se evidencia la superaciòn de la meta, se debe tener en cuenta el hallazgo 16 de la Contralorìa General de la Repùblica en el informe de auditorìa vigencia 2015, por lo que se sugiere revisar su reformulaciòn, acatando los procedimientos dispuestos.
Ejecuciòn presupuestal 0%.</t>
  </si>
  <si>
    <r>
      <rPr>
        <u/>
        <sz val="10"/>
        <rFont val="Arial"/>
        <family val="2"/>
      </rPr>
      <t>JUN/16</t>
    </r>
    <r>
      <rPr>
        <sz val="10"/>
        <rFont val="Arial"/>
        <family val="2"/>
      </rPr>
      <t xml:space="preserve">: Se hace la primera publicación del boletín de calidad de aire "Contaminación atmosférica" en la pagina web del instituto
Soportes: X:\Estudios Ambientales\ORDENAMIENTO AMBIENTAL DEL TERRITORIO\2016\Planeación\Indicadores POAbimensuales\3. Soportes Mayo-Junio. </t>
    </r>
    <r>
      <rPr>
        <sz val="10"/>
        <color rgb="FFFF0000"/>
        <rFont val="Arial"/>
        <family val="2"/>
      </rPr>
      <t xml:space="preserve">Avance 51%.
AGT/16: </t>
    </r>
    <r>
      <rPr>
        <sz val="10"/>
        <rFont val="Arial"/>
        <family val="2"/>
      </rPr>
      <t>Se continua con el análisis de los datos enviados por las autoridades para la elaboración del siguiente documento con el boletín de calidad del Aire.</t>
    </r>
    <r>
      <rPr>
        <sz val="10"/>
        <color rgb="FFFF0000"/>
        <rFont val="Arial"/>
        <family val="2"/>
      </rPr>
      <t xml:space="preserve"> Avance 56%.</t>
    </r>
  </si>
  <si>
    <r>
      <rPr>
        <u/>
        <sz val="10"/>
        <rFont val="Arial"/>
        <family val="2"/>
      </rPr>
      <t>JUN/16</t>
    </r>
    <r>
      <rPr>
        <sz val="10"/>
        <rFont val="Arial"/>
        <family val="2"/>
      </rPr>
      <t>: Se tienen a la fecha 190 laboratorios acreditados y 30 OEC autorizados
Soportes: X:\Estudios Ambientales\ORDENAMIENTO AMBIENTAL DEL
TERRITORIO\2016\Planeación\Indicadores POA bimensuales\3. Soportes Mayo-Junio.</t>
    </r>
    <r>
      <rPr>
        <sz val="10"/>
        <color rgb="FFFF0000"/>
        <rFont val="Arial"/>
        <family val="2"/>
      </rPr>
      <t xml:space="preserve">Avance 100%.
AGT/16: </t>
    </r>
    <r>
      <rPr>
        <sz val="10"/>
        <rFont val="Arial"/>
        <family val="2"/>
      </rPr>
      <t>Se tienen a la fecha 192 laboratorios acreditados y 30 OEC autorizados
Soportes: X:\Estudios Ambientales\ORDENAMIENTO AMBIENTAL DEL TERRITORIO\2016\Planeación\Indicadores POA bimensuales\3. Soportes Mayo-Junio.</t>
    </r>
    <r>
      <rPr>
        <sz val="10"/>
        <color rgb="FFFF0000"/>
        <rFont val="Arial"/>
        <family val="2"/>
      </rPr>
      <t xml:space="preserve"> Avance 100%.</t>
    </r>
  </si>
  <si>
    <r>
      <rPr>
        <u/>
        <sz val="10"/>
        <rFont val="Arial"/>
        <family val="2"/>
      </rPr>
      <t>JUN/16</t>
    </r>
    <r>
      <rPr>
        <sz val="10"/>
        <rFont val="Arial"/>
        <family val="2"/>
      </rPr>
      <t xml:space="preserve">: Se tiene lista la carpeta con estudios previos, análisis de riesgo, análisis del Sector y se espera aprobación por parte del comité de contratación para comenzar la contratación de la Calificación de la Evaluación de Pruebas de Desempeño. Los documentos soporte para la etapa pre contractual están en revisión de la oficina jurídica, previa su aprobación en Comité de Contratación. Soportes: X:\Estudios Ambientales\ORDENAMIENTO AMBIENTALDELTERRITORIO\2016\Planeación\Indicadores POA bimensuales\3. Soportes Mayo-Junio. </t>
    </r>
    <r>
      <rPr>
        <sz val="10"/>
        <color rgb="FFFF0000"/>
        <rFont val="Arial"/>
        <family val="2"/>
      </rPr>
      <t xml:space="preserve">Avance 45%.
AGT/16: </t>
    </r>
    <r>
      <rPr>
        <sz val="10"/>
        <rFont val="Arial"/>
        <family val="2"/>
      </rPr>
      <t>Se ha hecho la adjudicación del proponente para la calificación de las pruebas y fue adjudicado un contrato por  $78822000. Los proponentes han recibido la informción por parte del IDEAM y se espera retroalimentación por parte del proponente para aclarar dudas en la generación de los informes.</t>
    </r>
    <r>
      <rPr>
        <sz val="10"/>
        <color rgb="FFFF0000"/>
        <rFont val="Arial"/>
        <family val="2"/>
      </rPr>
      <t xml:space="preserve"> Avance 65%.</t>
    </r>
  </si>
  <si>
    <r>
      <rPr>
        <u/>
        <sz val="10"/>
        <rFont val="Arial"/>
        <family val="2"/>
      </rPr>
      <t>JUN/16</t>
    </r>
    <r>
      <rPr>
        <sz val="10"/>
        <rFont val="Arial"/>
        <family val="2"/>
      </rPr>
      <t xml:space="preserve">: El contenido del boletín del mes de Mayo primer paso para adaptarse, en este documento se presentan apartes sobre los documentos de regionalización del inventario y losprotocolos para el inventario en temas como ganadería, Energía y quemas de biomasa. Soportes: X:\Estudios Ambientales\ORDENAMIENTO AMBIENTAL DELTERRITORIO\2016\Planeación\Indicadores POA bimensuales\3. Soportes Mayo-Junio. </t>
    </r>
    <r>
      <rPr>
        <sz val="10"/>
        <color rgb="FFFF0000"/>
        <rFont val="Arial"/>
        <family val="2"/>
      </rPr>
      <t xml:space="preserve">Avance 40%.
AGT/16: </t>
    </r>
    <r>
      <rPr>
        <sz val="10"/>
        <rFont val="Arial"/>
        <family val="2"/>
      </rPr>
      <t>Aparte de los boletines mensuales emitidos por parte del Grupo de Tercera Comunicación Nacional  Julio y Agosto (14 y  15)  se encuentran en proceso de diagramación y edición los documentos de análisis cienciométrico, el documento ABC de cambio climático igualmente se encuentra en proceso de diagramación.</t>
    </r>
    <r>
      <rPr>
        <sz val="10"/>
        <color rgb="FFFF0000"/>
        <rFont val="Arial"/>
        <family val="2"/>
      </rPr>
      <t xml:space="preserve"> Avance 65%.</t>
    </r>
  </si>
  <si>
    <r>
      <rPr>
        <u/>
        <sz val="10"/>
        <rFont val="Arial"/>
        <family val="2"/>
      </rPr>
      <t>JUN/16</t>
    </r>
    <r>
      <rPr>
        <sz val="10"/>
        <rFont val="Arial"/>
        <family val="2"/>
      </rPr>
      <t xml:space="preserve">: El grupo de tercera comunicación hace entrega de los documentos:- Guía metodológica/Protocolo para regionalizar el inventario de emisiones de GEI en las categorías objeto del contrato, que sea representativa para la regionalización de los inventarios nacionales posteriores.-Guía metodológica/protocolo para regionalizar el inventario nacional de emisiones GEI en las categorías de "Tierras y emisiones de GEI por quema de biomasa".- Guía metodológica para regionalizar el inventario Nacional de emisiones de GEI en las categorías "energía". Soportes: X:\Estudios Ambientales\ORDENAMIENTO AMBIENTAL DEL TERRITORIO\2016\Planeación\Indicadores POA bimensuales\3. Soportes Mayo-Junio. </t>
    </r>
    <r>
      <rPr>
        <sz val="10"/>
        <color rgb="FFFF0000"/>
        <rFont val="Arial"/>
        <family val="2"/>
      </rPr>
      <t xml:space="preserve">Avance 50%.
AGT/16: </t>
    </r>
    <r>
      <rPr>
        <sz val="10"/>
        <rFont val="Arial"/>
        <family val="2"/>
      </rPr>
      <t>El documento final del inventario de gases de efecto invernadero se encuentra consolidando calculos, de igual manera se tienen los documentos de los consultores para los protocolos, de esta manera se espera que se comience el trabajo de diagramación y edición para tener el documento final la primera semana del mes de Noviembre.</t>
    </r>
    <r>
      <rPr>
        <sz val="10"/>
        <color rgb="FFFF0000"/>
        <rFont val="Arial"/>
        <family val="2"/>
      </rPr>
      <t xml:space="preserve"> Avance ? 50% ò 10%.</t>
    </r>
  </si>
  <si>
    <t>Se dispone de balances hídricos, los índices de déficit y se calcularon las fechas óptimas de siembra de acuerdo con el período de crecimiento.
Lo anterior como insumos para elaborar un estudio.</t>
  </si>
  <si>
    <r>
      <t xml:space="preserve">BOLETINES 67%
RECURSOS 100% </t>
    </r>
    <r>
      <rPr>
        <sz val="10"/>
        <rFont val="Arial"/>
        <family val="2"/>
      </rPr>
      <t>a nivel de compromisos</t>
    </r>
  </si>
  <si>
    <t>A la fecha se dispone de 8 boletines agrometeorológicos (http://www.ideam.gov.co/web/tiempo-y-clima/boletin-agrometeorologico-mensual-del-altiplano-cundiboyacense) y 8 boletines climáticos (http://www.ideam.gov.co/web/tiempo-y-clima/climatologico-mensual).
Se presenta un rezago de 15 días, pero se asegura su publicación.</t>
  </si>
  <si>
    <t>Sin apropiación de recursos de inversión.</t>
  </si>
  <si>
    <t>El alcance del estudio es considerar el mayor número de variables establecidas por instancias internacionales.
Se ha programado que la nota técnica (informe o documento final) se socializará en el 2018.
Se cuenta con la información de las bases de datos.
Se preve la presentación de una reorientación al 1/OCT/16.
Se indica que se pueden preparar las fuentes de datos para ejecutar en varias fases (3).</t>
  </si>
  <si>
    <r>
      <t>INFORME -</t>
    </r>
    <r>
      <rPr>
        <sz val="10"/>
        <rFont val="Arial"/>
        <family val="2"/>
      </rPr>
      <t>Avance mínimo. No se dispone de</t>
    </r>
    <r>
      <rPr>
        <sz val="10"/>
        <color theme="1"/>
        <rFont val="Arial"/>
        <family val="2"/>
      </rPr>
      <t xml:space="preserve"> evidencias para determinar un avance más significativo
RECURSOS -Sin apropiación</t>
    </r>
  </si>
  <si>
    <t>A finales de 2015 se solicitó el cambio de metas para el cuatrienio y se ajustó a 2 modelos, sin considerar meta para el 2016, sin embargo en ésta vigencia se dispone la implementación del modelo del año 2015.
El avance se manifiesta con la publicación en la web (modelos.ideam.gov.co bart.ideam.gov.co/wrfideam).
De otra parte, los modelos permanecen operativos todos los días y publicados.</t>
  </si>
  <si>
    <t xml:space="preserve">Pese a que se realizó el ajuste de metas del cuatrienio en el presente documento, se debe realizar el ajuste en el Plan Indicativo Cuatrienal, ya que la presentación actual del Plan distorsiona la gestión adelantada (continúa con 4 como meta).
Se evidenció (modelos.ideam.gov.co bart.ideam.gov.co/wrfideam), la publicación de los modelos de pronósticos (MODELO WRF, MODELO GFS, MODELO MM5, ENSAMBLE PROBABILISTICO y otros productos), con la elaboración de una Guía "COMO INTERPRETAR LOS MODELOS DE PRONÒSTICO DEL ESTADO DEL TIEMPO".
La socialización es acorde con lo transcurrido de la vigencia. </t>
  </si>
  <si>
    <t>Sin apropiación de recursos de inversión</t>
  </si>
  <si>
    <t>MODELOS -En operación
RECURSOS -Sin apropiación</t>
  </si>
  <si>
    <t>De forma permanente se cumple con la información de meteorología aeronaútica con cada uno de los 27 aeropuertos a cargo (http://bart.ideam.gov.co/metares/).</t>
  </si>
  <si>
    <t>Sin apropiación de recursos de inversión.
Los recursos de funcionamiento se aplican en:
1.Compra de 905 radiosondas según contrato 85/2016 por $700`000.000, que ya se canceló.
2.Compra de globos meteorológicos por $45`000.000, que se encuentra en proceso de revisión por la Oficina Asesora Jurìdica.
3.Compra de helio y otros gases por $90`000.000 y se adelanta laelaboración de los estudios previos.
4.En noviembre/2016, se tiene programado el 5° curso - taller de actualización en meteorología aeronaútica y se dispone de $86`000.000 para la organización del evento y de $43`658.537 para el desplazamiento de los funcionarios.</t>
  </si>
  <si>
    <t>Al considerar que se trata de una gestión permanente (Como función -Numerales 6 y 18 Art. 13 Decreto 291/04), se sugiere al coordinador del grupo de meteorología aeronaútica en coordinación con la Oficina Asesora de Planeaciòn, revisar la pertinencia de incluir en el POA la actividad o replantear el indicador, identificando los reportes que se entregan.
Se evidenció el cumplimiento de los reportes a los aeropuertos en: http://bart.ideam.gov.co/metares/ (Se adiciona el aeropuerto de Providencia que es anexo al de San Andrès).
La ejecuciòn presupuestal es del 73%, determinada en los $700.0000 del contrato 85/2016.
Se recomienda adelantar de manera inmediata, los demás procesos de contratación que permitan lograr un mayor nivel de ejecución de los recursos.</t>
  </si>
  <si>
    <t xml:space="preserve">Para la vigencia 2016 se consideró la necesidad de incluir el tema de recarga de acuíferos en el ENA previsto para el 2018. Por ser un tema nuevo, se requiere el inicio de actividades previas y se determinó que se debía realizar desde el 2016.
Se identificaron referentes que se consolidaron en un informe previo como borrador (Actualmente no se puede disponer del documento).
En el contrato se considerarán etapas del informe previo para desarrollar en la vigencia 2016, sin embargo no se pueden soportar mecanismos de seguimiento periódico de la gestión, en la consolidación del trabajo final.
</t>
  </si>
  <si>
    <t>Con base en la informaciòn suministrada por los responsables del área y ante un posible ajuste a la actividad en la vigencia, se indica que para el desarrollo del documento final se presentará una ejecuciòn por etapas o fases, en lo relacionado con la preparaciòn de las fuentes de datos; sin embargo no se evidencia una estructura formal del documento.
Pese a las gestiones adelantadas en el acopio de información, el avance presentado no es muy significativo.
Por lo anterior, se sugiere la definición y formulación de las fases que permita consolidar el estudio y en especial tener claridad sobre el alcance del 25% propuesto para el 2016, identificando los elementos o componentes que se esperan obtener en esta vigencia.</t>
  </si>
  <si>
    <r>
      <t>AEROPUERTOS CON REPORTES -Función permanente   
RECURSOS -</t>
    </r>
    <r>
      <rPr>
        <sz val="10"/>
        <rFont val="Arial"/>
        <family val="2"/>
      </rPr>
      <t>73%</t>
    </r>
  </si>
  <si>
    <r>
      <t xml:space="preserve">Se dispone de los contratos </t>
    </r>
    <r>
      <rPr>
        <sz val="10"/>
        <rFont val="Arial"/>
        <family val="2"/>
      </rPr>
      <t>105/2016 por $41`472.000 y 107/2016,</t>
    </r>
    <r>
      <rPr>
        <sz val="10"/>
        <color theme="1"/>
        <rFont val="Arial"/>
        <family val="2"/>
      </rPr>
      <t xml:space="preserve"> por valor de $36`864.000, con una ejecución total de $78`336.000.</t>
    </r>
  </si>
  <si>
    <t>Los boletines se han emitido de manera permanente (16/24) y se verificó su publicación.
Se encuentran publicados en: http://www.ideam.gov.co/web/tiempo-y-clima/boletin-agrometeorologico-mensual-del-altiplano-cundiboyacense y en http://www.ideam.gov.co/web/tiempo-y-clima/climatologico-mensual.
Pese a que se dispone de una contratación por $78`336.000, y su nivel de ejecución es del 100%, hay que tener en cuenta que el nivel de ejecución refiere es a compromisos.</t>
  </si>
  <si>
    <r>
      <t>La nota técnica se elaboró y entregó a Dirección General y publicado en la web (nuevos escenarios de cambio climatico para Colombia 2011-</t>
    </r>
    <r>
      <rPr>
        <sz val="10"/>
        <rFont val="Arial"/>
        <family val="2"/>
      </rPr>
      <t>2100)</t>
    </r>
    <r>
      <rPr>
        <sz val="10"/>
        <color theme="1"/>
        <rFont val="Arial"/>
        <family val="2"/>
      </rPr>
      <t>, previa selección de las estaciones para generar los indicadores a nivel regional y nacional.</t>
    </r>
  </si>
  <si>
    <r>
      <t xml:space="preserve">Se dispone de los contratos 86/2016 con la Universidad Los Libertadores por $875`850.746 y del 188/2016 con la Universidad Nacional por $158`400.000.
Los recursos de funcionamiento se aplicaron en desplazamiento de funcionarios por $12`000.000 y en auditorìa por $10`000.000 de la Red Meteorològica y Banco de datos.
Se dispone una adiciòn de $291`000.000, para la Universidad Nacional.
La ejecuciòn es </t>
    </r>
    <r>
      <rPr>
        <sz val="10"/>
        <rFont val="Arial"/>
        <family val="2"/>
      </rPr>
      <t>de $1.034`250.746 en recursos de inversión y de $22`000.000 en recursos de funcionamiento.</t>
    </r>
  </si>
  <si>
    <t>DOCUMENTOS:
ACTIVIDAD 1 Nota Técnica 100%
ACTIVIDAD 2 -Avance mínimo. No se dispone de evidencias para determinar un avance más significativo
ACTIVIDAD 3 Avance de gestiòn
RECURSOS 100% a nivel de compromisos</t>
  </si>
  <si>
    <t>ESTACIONES 55% -3 informes
DATOS 67% -2 informes
RECURSOS 100% a nivel de compromisos</t>
  </si>
  <si>
    <t>A finales de 2015 se solicitó el cambio de metas para el cuatrienio y se ajustó a 1 como meta, para desarrollar en 2016.
Al disponer del manual del cluster se adelanta el contrato para la implementación de forma operativa del modelo de predicción climática en un nodo del cluster. Se identifican 3 fases:
1.Desarrollo del script: Programación de sucesión de comandos.
2.Implementación: La predicción de octubre 2016 a marzo 2017 con datos de los meses de julio, agosto y septiembre de 2016.
3.Automatización del modelo: Programar al PC para que haga la tarea automáticamente el día 16 de cada mes.
Para el 2017 se espera la operatividad del modelo de forma automàtica.
La implementación del cluster estuvo a cargo de la Oficina de Informática y se cumplió en el 2015.</t>
  </si>
  <si>
    <t>Pese a que se realizó el ajuste de metas del cuatrienio en el presente documento, se debe realizar el ajuste en el Plan Indicativo Cuatrienal, ya que la presentación actual del Plan distorsiona la gestión adelantada (continúa con 3 como meta).
De acuerdo con lo informado por el responsable de la actividad, se han desarrollado 2 fases. Actualmente se adelantan, a través de la contratación referida, las gestiones para la operación de los modelos, quedando pendiente la presentaciòn definitiva del modelo, para finales de la presente vigencia. La fase de implementación se tiene a nivel interno en la Intranet (Evidencia http://192.168.157.6/wrf/wrfnuevo/pclimatica.html), lo que genera un avance del 67%.
La ejecución presupuestal es del 100%, sin embargo, hay que tener en cuenta que el nivel de ejecución está dado sobre compromisos.</t>
  </si>
  <si>
    <t>MODELOS 67% -2 de 3 fases 
RECURSOS 100% a nivel de compromisos</t>
  </si>
  <si>
    <t>Se adelantó el contrato 161 de 2016 con la Universidad Nacional por $150´000.000.</t>
  </si>
  <si>
    <t xml:space="preserve">INFORME -Avance mínimo. No se dispone de evidencias para determinar un avance más significativo.  
RECURSOS 0%
</t>
  </si>
  <si>
    <t>Los boletines se generan de manera permanente.
El Centro Europeo continua enviando información al IDEAM, los cuales permiten incorporar a los boletines de pronósticos por regiones productos desarrollados a partir del modelo del Centro Europeo ECMWF.
Actualmente, se adelantan gestiones para la renovación de la licencia con el Centro Europeo, pero el servicio de transmisión de datos no ha sido suspendido por parte del Centro Europeo.</t>
  </si>
  <si>
    <t>El POA2016 V19AGT16 presenta un total de $25`634.661, con una disminución de $38`351.851.</t>
  </si>
  <si>
    <t>Elaborar, publicar y reaizar monitoreo del Plan Anticorrupción y de Atención al Ciudadano.</t>
  </si>
  <si>
    <t>Plan publicado e informes de monitoreo</t>
  </si>
  <si>
    <r>
      <t xml:space="preserve">Se atendiò lo dispuesto en la normativa (Decreto 124/12) en cuanto a formulaciòn y publicaciòn (31MZO16).
Se realizaron ajustes a la Versiòn 1 y se publicò la versiòn 2.
El monitoreo se efectuó el día </t>
    </r>
    <r>
      <rPr>
        <sz val="9"/>
        <color rgb="FFFF0000"/>
        <rFont val="Arial"/>
        <family val="2"/>
      </rPr>
      <t xml:space="preserve">xxx </t>
    </r>
    <r>
      <rPr>
        <sz val="9"/>
        <color theme="1"/>
        <rFont val="Arial"/>
        <family val="2"/>
      </rPr>
      <t>con referente de tabla de formato DAFP.</t>
    </r>
  </si>
  <si>
    <t>Losboletines son:
-Informes Diarios de Alertas (http://www.pronosticosyalertas.gov.co/alertas).
-Informes Diarios de Incendios de la Cobertura Vegetal en Colombia (web:http://goo.gl/zDjIo8).
-Informes diarios Amenaza por deslizamientos (http://goo.gl/qKWkCn).
-Informes de Condiciones Hidrometeorológicas (http://goo.gl/CmF1at).
-Informes de situación sinóptica (En julio y agosto 2 informes resumen de condiciones sinópticas -http://goo.gl/pCnCXW).
Se reportan 1.482 boletines.</t>
  </si>
  <si>
    <r>
      <t xml:space="preserve">Se adelanta el contrato </t>
    </r>
    <r>
      <rPr>
        <sz val="10"/>
        <rFont val="Arial"/>
        <family val="2"/>
      </rPr>
      <t>108/2016</t>
    </r>
    <r>
      <rPr>
        <sz val="10"/>
        <color theme="1"/>
        <rFont val="Arial"/>
        <family val="2"/>
      </rPr>
      <t xml:space="preserve"> por $41`472.000.
Los recursos asignados solo se aplican para el tema de sequia.</t>
    </r>
  </si>
  <si>
    <t>Se avanza en el diseño de los algoritmos de cálculo para generar los indicadores, en razón a la solicitud de la Dirección General del documento para la vigencia 2016. Su avance es 14%.</t>
  </si>
  <si>
    <r>
      <t>Es claro, que la actividad del cuatrienio (elaboración del documento), se desarrolla con avances porcentuales anuales, a partir del 2016 (25%), s</t>
    </r>
    <r>
      <rPr>
        <sz val="10"/>
        <rFont val="Arial"/>
        <family val="2"/>
      </rPr>
      <t xml:space="preserve">in embargo, se indica </t>
    </r>
    <r>
      <rPr>
        <sz val="10"/>
        <color theme="1"/>
        <rFont val="Arial"/>
        <family val="2"/>
      </rPr>
      <t xml:space="preserve">que esta actividad 7, para la vigencia 2016, se desarrolla con 2 metas:
1. "Estaciones con control de calidad y con informacion de precipitacion las 24 horas".
2. "Actualizar variables metereológicas del banco de datos".
La primera meta propone 100 estaciones con información de precipitación, las cuales se seleccionaron conforme a criterios estratégicos de ubicación o de mayor representatividad en cada área operativa. Se dispone de información de 55 estaciones, con un reporte consolidado de 373.918 gràficas validadas (3 informes). </t>
    </r>
    <r>
      <rPr>
        <sz val="10"/>
        <rFont val="Arial"/>
        <family val="2"/>
      </rPr>
      <t>Evidencias en X:\Todos\Meteorologia\CONTROL INTERNO.</t>
    </r>
    <r>
      <rPr>
        <sz val="10"/>
        <color theme="1"/>
        <rFont val="Arial"/>
        <family val="2"/>
      </rPr>
      <t xml:space="preserve">
La segunda meta contempla la disposición de datos diarios de precipitación y temperaturas para el período 1974-2014, </t>
    </r>
    <r>
      <rPr>
        <sz val="10"/>
        <rFont val="Arial"/>
        <family val="2"/>
      </rPr>
      <t xml:space="preserve">por lo que se adelantó un contrato con la Universidad Nacional, quién </t>
    </r>
    <r>
      <rPr>
        <sz val="10"/>
        <color theme="1"/>
        <rFont val="Arial"/>
        <family val="2"/>
      </rPr>
      <t xml:space="preserve">entregó 2 informes (julio y agosto/2016), de los 3 productos acordados. Evidencias en X:\Todos\Meteorologia\CONTROL INTERNO. </t>
    </r>
    <r>
      <rPr>
        <sz val="10"/>
        <rFont val="Arial"/>
        <family val="2"/>
      </rPr>
      <t xml:space="preserve">El avance es del 67%, lo cual es consistente con lo acordado.
Si bien se avanza en el cumplimiento de las metas 2016, se debe revisar la consistencia de las metas alcanzadas en la vigencia 2016, con relación a la meta del 25% del Plan Indicativo Cuatrienal, y aclarar si el logro de estas metas corresponde al 25% en la elaboraciòn del documento final. Por lo anterior se debe precisar el alcance en la formulación de metas e indicadores.
</t>
    </r>
    <r>
      <rPr>
        <sz val="10"/>
        <color theme="1"/>
        <rFont val="Arial"/>
        <family val="2"/>
      </rPr>
      <t xml:space="preserve">
De otra parte, al indicar que la actividad 6 del presente documento, se asocia y coadyuva con esta actividad, plantea escenarios confusos que no permiten claridad con uno de los productos del cuatrienio, que es el de disponer del estudio de la sequía.
Se sugiere presentar replanteamientos en la definición y alcance de actividades, con apoyo de la Oficina Asesora de Planeación.
La ejecuciòn de recursos es del 100%, a nivel de compromisos.</t>
    </r>
  </si>
  <si>
    <r>
      <rPr>
        <b/>
        <sz val="10"/>
        <color theme="1"/>
        <rFont val="Arial"/>
        <family val="2"/>
      </rPr>
      <t>Actividad 1:</t>
    </r>
    <r>
      <rPr>
        <sz val="10"/>
        <color theme="1"/>
        <rFont val="Arial"/>
        <family val="2"/>
      </rPr>
      <t xml:space="preserve">   Para la primera actividad, aunque en el Plan Indicativo Cuatrienal no se consideró meta para 2016, se dispuso elaborar un documento general para esta vigencia, el cual se elaboró y entregó a la Dirección General. Se evidencia en https://goo.gl/QiUMqL.
Se presentó además, la revista interna de IDEAM, "El Tablero" como avance, indicando que 2015 había sido el año más caliente y menos lluvioso de los últimos 35 años en Colombia.
Se evidencìo en https://issuu.com/ideaminstituto0/docs/el-tablero-marzo.
Adicionalmente, se adelantan acciones para generar los indicadores a nivel regional y nacional en estaciones seleccionadas.
 </t>
    </r>
    <r>
      <rPr>
        <sz val="10"/>
        <color rgb="FFFF0000"/>
        <rFont val="Arial"/>
        <family val="2"/>
      </rPr>
      <t xml:space="preserve">
</t>
    </r>
    <r>
      <rPr>
        <b/>
        <sz val="10"/>
        <rFont val="Arial"/>
        <family val="2"/>
      </rPr>
      <t xml:space="preserve">Actividad 2: </t>
    </r>
    <r>
      <rPr>
        <sz val="10"/>
        <rFont val="Arial"/>
        <family val="2"/>
      </rPr>
      <t xml:space="preserve">La meta cuatrienal describe 1 para 2016, y en este documento (POA2016) se presenta como meta un 25% de avance para la vigencia; situación ésta que distorsiona su presentación. Se recomienda consolidar los criterios para no generar confusiones en la presentación e interpretación de indicadores y metas.
Dado el avance presentado del 14%, se sugiere implementar acciones que fortalezcan la atención y priorización de los temas en la construcción del documento, ya que el avance no es muy significativo.
</t>
    </r>
    <r>
      <rPr>
        <b/>
        <sz val="10"/>
        <rFont val="Arial"/>
        <family val="2"/>
      </rPr>
      <t>Actividad 3:</t>
    </r>
    <r>
      <rPr>
        <sz val="10"/>
        <rFont val="Arial"/>
        <family val="2"/>
      </rPr>
      <t xml:space="preserve">  Se adelanta el cálculo estadístico en número de eventos de sequía y cálculo de los períodos de retorno de la serie del índice seleccionado, se calculan las tendencias de las serie de precipitación, los cuales se toman como insumo para la nota técnica final.
Se sugiere identificar componentes o etapas del informe para consolidar su elaboración. Se verificó el objeto contractual,el cual está direccionado a la sequia (Plan de contratación).</t>
    </r>
  </si>
  <si>
    <t>Los recursos apropiados para esta actividad se asociarán con los recursos de la actividad 4, con el propósito de adelantar un contrato previsto para el mes de septiembre de 2016.</t>
  </si>
  <si>
    <t>Esta actividad recopila 2 productos del Plan Indicativo Cuatrienal, los cuales no presentan metas para esta vigencia, sin embargo se dispuso adelantar en el 2016, la elaboración de un documento con la inclusión del tema de recarga de sistemas acuíferos, como insumo para el Estudio Nacional del Agua.
Al revisar los antecedentes del cambio presentado, no se pudo evidenciar el procedimiento aplicado para solicitar las modificaciones, por lo que se sugiere adelantar y coordinar con la Oficina Asesora de Planeaciòn lo pertinente al cambio, con el objeto de no inducir a malas interpretaciones o distorsiones en la presentación de los documentos, asì como la de no generar posibles observaciones de instancias externas, como lo advierte la Contraloría General de la República en el informe de auditoría vigencia 2015 (Ver hallazgo 16 -folio 84 -comentarios sobre los cambios y documentos de ajustes a la planeación).
El nivel de avance reportado (35%), se estima sobre la elaboraciòn de un informe previo o borrador donde se identificaron referentes tècnicos, el cual no se pudo evidenciar, dada la informaciòn de los responsables del área.
Con base en lo anterior y según la descripciòn de la actividad para 2016, se sugiere revisar y fortalecer las acciones para consolidar el estudio, adicional al establecimiento de etapas o fases que se pudiesen desarrollar en la vigencia 2016, para facilitar el seguimiento periòdico de la gestiòn.
Con relaciòn a la ejecuciòn de los recursos y teniendo en cuenta el tiempo que resta de la vigencia, se puede recomendar de manera respetuosa, revisar las acciones que agilicen no solo el proceso contractual, sino las que se encaminen a asegurar la entrega oportuna de resultados que permitan el cumplimiento y consolidación del documento final.</t>
  </si>
  <si>
    <t>Se asocia con la actividad 1 y se agruparon los recursos para adelantarel proceso contractual.</t>
  </si>
  <si>
    <t>Los recursos apropiados para esta actividad se asociarán con los recursos de la actividad 1, con el propósito de adelantar un contrato previsto para el mes de septiembre de 2016.</t>
  </si>
  <si>
    <t>El desarrollo de la presente actividad se asocia con la actividad 1, en lo concerniente a unificar recursos, lo que permite entender que se suman esfuerzos para lograr objetivos consolidados, sin embargo, la descripciòn genera confusión en la presentaciòn y alcance de lo descrito.
No presenta ejecuciòn de recursos.
Con relaciòn a la ejecuciòn de los recursos y teniendo en cuenta el tiempo que resta de la vigencia, se puede recomendar de manera respetuosa, revisar las acciones que agilicen no solo el proceso contractual, sino las que se encaminen a asegurar la entrega oportuna de resultados que permitan el cumplimiento del objeto contractual y apliquen a la consolidación del documento final.</t>
  </si>
  <si>
    <t xml:space="preserve">DOCUMENTO -Avance mínimo. No se dispone de evidencias para determinar un avance más significativo.  
RECURSOS 0%
</t>
  </si>
  <si>
    <t>Se adelanta el contrato con la Universidad Nacional, para la elaboraciòn de 2 documentos:
1.Erosión, transporte y Depósito de sedimentos a nivel de cuenca como una herramienta para la gestión.
2.Aspectos técnicos de la modelación hidrosedimentológica en una zona hidrográfica de la Orinoquia.
Se han entregado 2 informes relacionados con el proyecto “Aspectos técnicos de la modelación hidrosedimentológica en una zona hidrográfica de la Orinoquia" (Orfeos 20169910069132 y 20169910104092).</t>
  </si>
  <si>
    <t>No se evidenció soporte para el documento de erosión y transporte.
Con relación al proyecto de modelación, la U. Nacional entregó 2 informes como avances. El contrato contempla 4 informes. (Evidencia D:\Jaime\Plan Operativo Anual 2016\Segmnto POA a 30JUN 2016\Sub Hidrologìa - Evidencias avances).
Se sugiere tener más claridad en la identificación de las actividades e indicadores, para no generar confusión en su descripción, así como el de fortalecer acciones para la disposición del primer documento.</t>
  </si>
  <si>
    <t>DOCUMENTOS
PROYECTO 1 -No se dispone de evidencias para determinar un avance significativo.
PROYECTO 2 -25%
RECURSOS 100% -A nivel de compromisos</t>
  </si>
  <si>
    <r>
      <rPr>
        <u/>
        <sz val="9"/>
        <color theme="1"/>
        <rFont val="Arial"/>
        <family val="2"/>
      </rPr>
      <t>JUN/16</t>
    </r>
    <r>
      <rPr>
        <sz val="9"/>
        <color theme="1"/>
        <rFont val="Arial"/>
        <family val="2"/>
      </rPr>
      <t xml:space="preserve">: Se realizo la actualización de 81 documentos del SGI, se proponen ajustes al mapa de procesos, y se determina el desarrollo del modelo de planeación IDEAM.
Véase: http://sgi.ideam.gov.co/planeacion-institucional/-
/document_library_display/b1l4LYggmqrg/view/621061?_110_INSTANCE_b1l4LYggmqrg_redirect=http%3A%2F%2Fsgi.ideam.gov.co%2Fplaneacioninstitucional%3Fp_p_id%3D110_INSTANCE_b1l4LYggmqrg%26p_p_lifecycle%3D0%26p_p_state%3Dnormal%26p_p_mode%3Dview%26p_p_col_id%3Dcolumn-1%26p_p_col_count%3D1. </t>
    </r>
    <r>
      <rPr>
        <sz val="9"/>
        <color rgb="FFFF0000"/>
        <rFont val="Arial"/>
        <family val="2"/>
      </rPr>
      <t>Avance 51%.</t>
    </r>
  </si>
  <si>
    <t>El cronograma de integraciòn del SGI contempla:
1. Integrar polìticas del Sistema de Gestiòn.
2. Integrar objetivos del Sistema de Gestiòn.
3. Evaluaciòn inicial (Diagnòstico SGC, SGA, SGSST).
4. Proponer modificaciones a la Resoluciòn 3313/12.
5. Plantear indicadores del Sistema de Gestiòn.
6. Actualizar mapa de procesos.
7. Actualizar documentos para integraciòn.
Se han desarrollado 4 actividades, para reunión del Comité Directivo.
En proceso la formulaciòn de indicadores.</t>
  </si>
  <si>
    <t xml:space="preserve">De las 7 fases de integración definidas, se han desarrollado acciones que permiten disponer de documentos preliminares que contemplan ajustes para integrar las políticas del sistema de gestión, integrar los objetivos del sistema de gestión, realizar una evaluación inicial sobre el SGC, SGA y SGSST, así como el de proponer modificaciones a la resolución 3313/12. Se aportaron y verificaron documentos de trabajo.
Si bien se evidencian las gestiones para dar cumplimiento al cronograma establecido, se sugiere determinar cual es el alcance de la actividad, en el sentido de definir si los ajustes serán presentados al Comite Directivo en lo que resta de la vigencia para su revisión y/o aprobación o se entregará un informe de avance de la gestión, como lo describe el indicador para la vigencia 2016.
</t>
  </si>
  <si>
    <t>Con la Universidad Nacional se adelantó un convenio que permite disponer del estudio de actualización y análisis de las curvas IDF.
Se suscribieron contratos para consolidar procesos de validación de información hidrológica y su incorporación al banco de datos, los cuales son reportados a la Subdirección de Hidrología, para su validación.
Para el 2016 se tomaron los datos de vigencia 2015 y hasta la fecha se han validado el 35% de dichos datos.</t>
  </si>
  <si>
    <t>ESTUDIO CURVAS IDF 40%
RECURSOS
INVERSION 98% -A nivel de compromisos
FUNCIONAMIENTO 100%</t>
  </si>
  <si>
    <t>Se han definido los puntos donde se intalaràn las estaciones Isotòpicas (Quibdó, Bahia Solano, Macarena, Cúcuta y Arauca).</t>
  </si>
  <si>
    <t>DOCUMENTO -Avance mínimo. No se dispone de evidencias para determinar un avance más significativo.  
RECURSOS 38% -A nivel de compromisos</t>
  </si>
  <si>
    <t>DOCUMENTO -Se dispone de documento borrador
RECURSOS 0%</t>
  </si>
  <si>
    <t>Estrategia 1: Fortalecer los procesos de la gestión del riesgo: conocimiento, reducción y manejo. (2)</t>
  </si>
  <si>
    <t>Se suscribiò el contrato 205/2016 por $36`000.000.</t>
  </si>
  <si>
    <t>Dados los cambios anunciados por los responsables del área, se debe en primera instancia, realizar los ajustes correspondientes en el alcance de la actividad para el 2016, acatando los procedimientos establecidos en coordinación con la Oficina Asesora de Planeación, para no generar dudas en el desarrollo de la actividad planteada. Así mismo, reiterar lo descrito para la actividad 1, en este documento (Observaciones de la CGR sobre oportunidad de los cambios).
Si bien se dispone de un documento preliminar sobre el contenido del plan y de un inventario de equipos del laboratorio, se sugiere establecer parámetros para su consolidación y presentación final. De otra parte se requiere revisar la información del inventario, para determinar una posible actulización ya que los datos son de noviembre de 2015. (Documento preliminar: D:\Jaime\Plan Operativo Anual 2016\Segmnto POA a 30JUN 2016\Sub Hidrologìa - Evidencias avances).</t>
  </si>
  <si>
    <t>No presenta ejecución de recursos y se prevé redireccionar los recursos para otra actividad que pueda estar asociada con el proceso de acreditación.</t>
  </si>
  <si>
    <t>Se entregò la primera versiòn del documento y se encuentra en revisiòn interna.</t>
  </si>
  <si>
    <t>Se adelanta la esquematización del modelo hidrológico de la Cuenca Alta del Río San Jorge para su incorporación a FEWS y la esquematización de los modelos hidráulicos en la parte baja del Río Cauca (sector entre la Coquera y las Varas).
De manera adicional se avanza en la actualización del modelo hidráulico en el Río Magdalena.
Ademàs, se avanza en configurar en la vesión Stand Alone los modelos del Río San Jorge (hidrológico e hidraúlico), así como el modelo hidrológico de la Coquera y se configura el modelo hidráulico entre Salgar y Barrancabermeja luego de su recalibración.</t>
  </si>
  <si>
    <t>Se implementaron los 5 nodos y están en funcionamiento.
Se cuenta con 16 nodos operando, los recursos en 2016 se orientan a la operación de los nodos y mejoramiento de la operación del SIRH.</t>
  </si>
  <si>
    <t>Se realizaron los 5 talleres en Barranquilla, Bogotá (2), Cali y Medellín.</t>
  </si>
  <si>
    <t>La meta no se realizó en 2015 y se traslada para 2016.
Se adelantan gestiones en la definición de actividades y productos y se consolidó cuadro que incluye los elementos de investigación en el marco misional del IDEAM.
Se elaboró ademàs, protocolo para documentos de carácter científico.</t>
  </si>
  <si>
    <t>DOCUMENTO Se presenta como avance informe preliminar
RECURSOS 100% a nivel de compromisos</t>
  </si>
  <si>
    <r>
      <t>La actividad 7 consolida los productos de los 3 indicadores del Plan Indicativo Cuatrienal para el año 2016, estableciendo una meta de 4 documentos.
-Con relación al documento de la actividad 1 del cuatrienio, se dispone de una versión ini</t>
    </r>
    <r>
      <rPr>
        <sz val="10"/>
        <rFont val="Arial"/>
        <family val="2"/>
      </rPr>
      <t>cial que está siendo revisada por el área (Evidencia D:\Jaime\Plan Operativo Anual 2016\Segmnto POA a 30JUN 2016\Sub Hidrologìa - Evidencias avances).</t>
    </r>
    <r>
      <rPr>
        <sz val="10"/>
        <color theme="1"/>
        <rFont val="Arial"/>
        <family val="2"/>
      </rPr>
      <t xml:space="preserve">
-En cuanto a los 2 documentos de la actividad 2 del cuatrienio, se cuenta con el Boletín del agua 2015, quedando pendiente el documento sobre el tema de bioindicación (Evidencia D:\Jaime\Plan Operativo Anual 2016\Segmnto POA a 30JUN 2016\Sub Hidrologìa - Evidencias avances).
-Sobre el documento de la actividad 3 del cuatrienio, se elaboró el documento Información de calidad relacionada con patógenos, sin embargo se debe complementar con lo que falta del documento de bioindicación (Evidencia D:\Jaime\Plan Operativo Anual 2016\Segmnto POA a 30JUN 2016\Sub Hidrologìa - Evidencias avances).
Por lo anterior y en aras de no generar distorsiones en el alcance de las actividades, se sugiere mayor claridad en la identificaciòn de los documentos y descripciòn de componentes de los mismos.
Ejecuciòn presupuestal de $48`298.667, que corresponde al 97%, sobre recursos de inversiòn.</t>
    </r>
  </si>
  <si>
    <r>
      <t>Aunque los 4 productos del Plan Indicativo Cuatrienal, se consolidan en la presente actividad, se conservan las metas e indicadores individualmente para la vigencia 2016.
Se resalta que las metas 1 y 4 están incluidas como metas del Plan Nacional de Desarrollo 2014-2018 (PND). Se advierte sin embargo, que se deben revisar y ajustar estas metas, ya que en el PND 2014-2018 (Folio 696 PND), se establecen 10 mapas por creciente súbita que corresponde a la meta 1 y 6 mapas de amenaza por inundación que correspondería a la meta 4.
Situación que podría generar distorsiones con el cumplimiento de las metas del PND 2014-2018.
Para la meta 1 se dispone del mapa de la población de Montelìbano (Evidencia D:\Jaime\Plan Operativo Anual 2016\Segmnto POA a 30JUN 2016\Sub Hidrologìa - Evidencias avances).</t>
    </r>
    <r>
      <rPr>
        <sz val="10"/>
        <color rgb="FFFF0000"/>
        <rFont val="Arial"/>
        <family val="2"/>
      </rPr>
      <t xml:space="preserve">
</t>
    </r>
    <r>
      <rPr>
        <sz val="10"/>
        <rFont val="Arial"/>
        <family val="2"/>
      </rPr>
      <t>En la meta 2, aunque se dispone de informes para modelación de las zonas sobre el Río San Jorge, el Río Cauca y el Río Magdalena, no se evidenció la compilación de un documento final (Evidencia D:\Jaime\Plan Operativo Anual 2016\Segmnto POA a 30JUN 2016\Sub Hidrologìa - Evidencias avances).</t>
    </r>
    <r>
      <rPr>
        <sz val="10"/>
        <color rgb="FFFF0000"/>
        <rFont val="Arial"/>
        <family val="2"/>
      </rPr>
      <t xml:space="preserve"> </t>
    </r>
    <r>
      <rPr>
        <sz val="10"/>
        <rFont val="Arial"/>
        <family val="2"/>
      </rPr>
      <t>Se requiere más claridad en la descripción y alcance de la actividad, así como el de presentar la asociación de los contratos con los productos esperados.</t>
    </r>
    <r>
      <rPr>
        <sz val="10"/>
        <color rgb="FFFF0000"/>
        <rFont val="Arial"/>
        <family val="2"/>
      </rPr>
      <t xml:space="preserve">
</t>
    </r>
    <r>
      <rPr>
        <sz val="10"/>
        <rFont val="Arial"/>
        <family val="2"/>
      </rPr>
      <t>La meta 3 presenta el documento con la incorporación de la Cuenca del río San Jorge en la plataforma FEWS-Colombia, sin embargo, se indica que la versión está en proceso de calibración y validación y se continuará trabajando hasta obtener la configuración definitiva para la plataforma FEWS. Para el Río Cauca se dispone de un informe que indica que se adelantó la incorporación al FEWS del sector LA COQUERA-MAGANGUÉ. Sobre el Río Magdalena se presenta informe de avance en la calibración del modelo hidraúlico. Aunque se resaltan las gestiones adelantadas, se sugiere tener más claridad en la descripción de los productos, para una fácil identificación, ya que con relación al Río Cauca no se puede determinar con exactitud si se cumplió con lo planeado de forma total o se trata del cumplimiento de un determinado sector, para lo cual sería un logro parcial (Evidencia D:\Jaime\Plan Operativo Anual 2016\Segmnto POA a 30JUN 2016\Sub Hidrologìa - Evidencias avances).</t>
    </r>
    <r>
      <rPr>
        <sz val="10"/>
        <color rgb="FFFF0000"/>
        <rFont val="Arial"/>
        <family val="2"/>
      </rPr>
      <t xml:space="preserve">
</t>
    </r>
    <r>
      <rPr>
        <sz val="10"/>
        <rFont val="Arial"/>
        <family val="2"/>
      </rPr>
      <t>Para la meta 4, se evidenciarion los mapas de Ayapel, San Benito y Caimito, quedando pendiente el de San Marcos (Evidencia D:\Jaime\Plan Operativo Anual 2016\Segmnto POA a 30JUN 2016\Sub Hidrologìa - Evidencias avances).</t>
    </r>
    <r>
      <rPr>
        <sz val="10"/>
        <color rgb="FFFF0000"/>
        <rFont val="Arial"/>
        <family val="2"/>
      </rPr>
      <t xml:space="preserve">
</t>
    </r>
    <r>
      <rPr>
        <sz val="10"/>
        <rFont val="Arial"/>
        <family val="2"/>
      </rPr>
      <t>Se sugiere presentar con mayor claridad, la diferencia entre mapas de creciente súbita y mapas de inundación, para no generar distorsiones con las metas PND 2014-2018, y realizar las aclaraciones correspondientes de manera oportuna.</t>
    </r>
  </si>
  <si>
    <r>
      <t>Con referencia a la actividad se dispone de un documento preliminar cuyo objetivo es el de diseñar y formular las bases técnicas y la hoja de ruta para la implementación del Centro Nacional de Modelación (Evidencia D:\Jaime\Plan Operativo Anual 2016\Segmnto POA a 30JUN 2016\Sub Hidrologìa - Evidencias avances).
Adicional al documento preliminar, se realizaron talleres con instituciones, con funcionarios y directivos asociadas a la gestión y evaluación del riesgo y el grupo consultor de Deltares (Evidencia D:\Jaime\Plan Operativo Anual 2016\Segmnto POA a 30JUN 2016\Sub Hidrologìa - Evidencias avances).</t>
    </r>
    <r>
      <rPr>
        <sz val="10"/>
        <color theme="1"/>
        <rFont val="Arial"/>
        <family val="2"/>
      </rPr>
      <t xml:space="preserve">
Sin apropiaciòn de recursos.</t>
    </r>
  </si>
  <si>
    <t>Se pudieron conocer 4 documentos relacionados con la actividad, sin embargo no se pudo evidenciar la cantidad de nodos implementados (Informes 1 y 2 del contrato 89/2016 y los requerimientos para mejoras a los formularios en la captura de datos). De seguro estas acciones van encaminadas a mejorar el SISTEMA DE INFORMACIÓN DE RECURSO HÍDRICO – SIRH, sin embargo se sugiere más claridad en la descripción de los nodos en operación, máxime cuando se indica en los informes de gestión que se tienen 16 nodos operando (Matriz de información- (Evidencia D:\Jaime\Plan Operativo Anual 2016\Segmnto POA a 30JUN 2016\Sub Hidrologìa - Evidencias avances).
La ejecuciòn presupuestal de los contratos a nivel de compromisos es de $271`656.800.
Se evidenciaron los soportes de los 5 talleres realizados: Bogotá (13MYO y 19MYO/16), Barranquilla (26MYO/16), Cali (23JUN/16) y Medellín (7JUL/16). (Evidencia D:\Jaime\Plan Operativo Anual 2016\Segmnto POA a 30JUN 2016\Sub Hidrologìa - Evidencias avances).</t>
  </si>
  <si>
    <r>
      <t>Aunque este documento no presenta meta en la actividad del cuatrienio 2015-2018, se dispuso adelantarla en esta vigencia, en razón a que no se realizó en el 2015. Por lo anterior, se debieron realizar los ajustes pertinentes en atención a los procedimientos existentes, situación que no se dió dado que aún figura la meta cuatrienal en el 2015. Se recuerda la observación de la CGR con relación a las oportunas modificaciones que se puedan presentar en un proceso de planeación, siempre y cuando se apliquen en todos los documentos.
Se evidenció un primer informe en la consolidación del trabajo final, con el instructivo para el catálogo documental, así como los elementos del listado de protocolos (Evidencia D:\Jaime\Plan Operativo Anual 2016\Segmnto POA a 30JUN 2016\Sub Hidrologìa - Evidencias avances).</t>
    </r>
    <r>
      <rPr>
        <sz val="10"/>
        <color theme="1"/>
        <rFont val="Arial"/>
        <family val="2"/>
      </rPr>
      <t xml:space="preserve">
La ejecuciòn presupuestal es del 100%.</t>
    </r>
  </si>
  <si>
    <t>Se dispone de información topoatimétrica de la región de la Mojana que cubre varias poblaciones, por lo tanto, se tiene caracterizada la región sobre la cual se realizarían los 2 mapas.
Se cuenta con el mapa de la población de Montelíbano.
El Fondo de Adaptación Nacional apoyó al Instituto con información topobatimétrica, lo que generó optimización en el uso de la información y se evalúa la generación de otros mapas.</t>
  </si>
  <si>
    <r>
      <t>Esta actividad 5, es adicional a la consignada en el Plan Indicativo Cuatrienal, con el propósito de apoyar las actividades de implementación de la red básica nacional de agua subte</t>
    </r>
    <r>
      <rPr>
        <sz val="10"/>
        <rFont val="Arial"/>
        <family val="2"/>
      </rPr>
      <t>rránea.
No se aportaron evidencias sobre el desarrollo del contrato</t>
    </r>
    <r>
      <rPr>
        <sz val="10"/>
        <color theme="1"/>
        <rFont val="Arial"/>
        <family val="2"/>
      </rPr>
      <t>.
De otra parte, el avance dado por los responsables del área del 20%, en los informes de gestión (Matriz de indicadores-D:\Jaime\Plan Operativo Anual 2016\Segmnto POA a 30JUN 2016\Sub Hidrologìa-Evidencias avances), no es muy significativo, por lo que se sugiere revisar el alcance del contrato para determinar acciones que propendan por su cumplimiento.
La ejecuciòn de recursos es de $36`423.488 a nivel de compromisos.</t>
    </r>
  </si>
  <si>
    <t>La actividad se desarrolla mediante la ejecuciòn de varios contratos, uno de los cuales es con la Universidad Nacional, que compila en 5 informes el estudio y análisis de las curvas IDF disponibles. De este convenio se han entregado 2 informes (Evidencia D:\Jaime\Plan Operativo Anual 2016\Segmnto POA a 30JUN 2016\Sub Hidrologìa - Evidencias avances). (2).
Lo anterior se complementa con la ejecución de los contratos que se enfocan en consolidar los procesos de validación de la información hidrológica.</t>
  </si>
  <si>
    <t>(2) En relación al convenio suscrito con la Universidad Nacional y el IDEAM, se sugiere revisar el esquema presentado del proyecto (cuya metodología puede servir de referente en la planeación y descripción de este tipo de actividades), el cual consta de cinco informes como resultados:
1. Un primer informe que contiene:
 El plan detallado de actividades.
 El marco metodológico para el cálculo de las curvas IDF.
 El resumen de la selección de tormentas a ser analizadas.
2. Un segundo informe (Entregado Informe Julio/2016-Producto 2) que contendrá:
 La recopilación, organización, procesamiento y análisis de información disponible en el IDEAM y proveniente de otras fuentes secundarias.
 Los avances en el desarrollo del aplicativo en R, o en software similar, para el cálculo de curvas IDF, de acuerdo con los lineamientos del convenio.
 La descripción del estado y avances en el procesamiento de pluviogramas.
Y un ùltimo producto:
5. Un quinto y último informe que contendrá:
 La descripción de los resultados del análisis de curvas IDF sintéticas o generalizadas.
 El soporte de realización del evento de socialización de resultados del proyecto.</t>
  </si>
  <si>
    <t>(1). Reunión con Gabriel Saldarriaga y Fabio Bernal, funcionarios de la Subdirección de Hidrología, el 6/SPT/16 (11 Actividades - 15 Metas - 30 Productos).
Dcto. 2482/12. Metodología para la implementación del Modelo Integrado de Planeación y Gestión. 2.2 GESTIÓN MISIONAL Y DE GOBIERNO. Indicadores y Metas de Gobierno. Los indicadores y metas que se definen como estratégicos son incluídos en el Sistema de Seguimiento a Metas de Gobierno, para su monitoreo permanente por parte de la Presidencia de la República y del Departamento Nacional de Planeación.
Según lo establece la Directiva Presidencial 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</si>
  <si>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En la vigencia 2016 no se presenta meta, sin embargo se consideran los siguientes aspectos:
-Existencia de estaciones convencionales (Con observador).
-Convertir sistemas convencionales a sistemas autònomos (automàticas).
-Hay 163 estaciones automatizadas en tiempo real.
-Avanzar en el proyecto del fortalecimiento de alertas tempranas a causa del fenòmeno La Niña 2010-2011.
-Convenio 4/2012 con el Fondo Adaptaciòn (Presidencia) que dispone de recursos por $22.771`771.017.
-La meta del PND 2014-2018, contempla 457 estaciones en tiempo real (210 nuevas y 247 de las que tiene el IDEAM para repotenciar -de unidireccional a bidireccional) y 73 estaciones se hacen con recursos propios.
-Se adelantan acciones con otras instancias para automatizar estaciones (Cenicafè, CARs).</t>
  </si>
  <si>
    <t>La actividad no tiene registrada meta para el 2016.
Pese a lo anterior, se sugiere determinar unas actividades previas que propendan por su cumplimiento oportunamente, en razón a que se trata de una meta contemplada en el Plan Nacional de Desarrollo 2014-2018 (Folio 695 PND).
De otra parte, se debe revisar la información dada en 2015 por el IDEAM, que reportó 19 estaciones, pese a que no tenía meta POA para dicha vigencia; situación ésta que se debe analizar para determinar si hacen parte de la meta del cuatrienio y por lo tanto se podrían contemplar para la próxima vigencia o se considerarían como adicionales. El reporte está consignado en el informe de auditoría de la vigencia 2015 de la Contraloría General de la República (Folio 31). El ajuste debe estar coordinado con la Oficina Asesora de Planeación</t>
  </si>
  <si>
    <t xml:space="preserve">Se incluyó esta actividad para operar y mantener la red existente, al considerar la asignación de recursos por inversión.
De otra parte, se contempla el mantenimiento de las estaciones actuales como compromiso asociado al Plan Nacional de Desarrollo 2014-2018 (PND).
</t>
  </si>
  <si>
    <r>
      <rPr>
        <u/>
        <sz val="10"/>
        <color theme="1"/>
        <rFont val="Arial"/>
        <family val="2"/>
      </rPr>
      <t>JUN/16</t>
    </r>
    <r>
      <rPr>
        <sz val="10"/>
        <color theme="1"/>
        <rFont val="Arial"/>
        <family val="2"/>
      </rPr>
      <t xml:space="preserve">: Ya se realizó el contrato para la adquisición de los equipos. El grupo de automatización cuenta con los equipos para las cinco estaciones sinópticas. Dos estaciones se tienen programdas para el mes de julio y las otras tres están pendientes del permiso para las instalación en el segundo semestre del año. </t>
    </r>
    <r>
      <rPr>
        <sz val="10"/>
        <color rgb="FFFF0000"/>
        <rFont val="Arial"/>
        <family val="2"/>
      </rPr>
      <t xml:space="preserve">Avance 15%.
</t>
    </r>
    <r>
      <rPr>
        <u/>
        <sz val="10"/>
        <color rgb="FFFF0000"/>
        <rFont val="Arial"/>
        <family val="2"/>
      </rPr>
      <t>AGT/16</t>
    </r>
    <r>
      <rPr>
        <sz val="10"/>
        <color rgb="FFFF0000"/>
        <rFont val="Arial"/>
        <family val="2"/>
      </rPr>
      <t>: Se intalaron las estaciones de los aeropuertos El Eden - Armentia y Alfonso López - Valledupar. Están pendientes por permiso los aeropuertos de Santa Marta, ibagué y Neiva. Avance 40%.</t>
    </r>
  </si>
  <si>
    <t>Se identificaron las estaciones sinópticas de los aeropuertos:
1.Alfonso López - Valledupar.
2.El Eden - Armenia.
3.Santa Marta.
4.Neiva.
5.Ibagué.
Se instalaron las estaciones de El Eden - Armenia y Alfonso López - Valledupar. Están pendientes por permiso los aeropuertos de Santa Marta, ibagué y Neiva.</t>
  </si>
  <si>
    <r>
      <rPr>
        <sz val="10"/>
        <rFont val="Arial"/>
        <family val="2"/>
      </rPr>
      <t xml:space="preserve">Se desarrolla con el apoyo del Fondo Adaptación.
El </t>
    </r>
    <r>
      <rPr>
        <sz val="10"/>
        <color theme="1"/>
        <rFont val="Arial"/>
        <family val="2"/>
      </rPr>
      <t>Grupo de Automatización cuenta con los equipos para las cinco estaciones sinópticas y se han instalado 2.</t>
    </r>
    <r>
      <rPr>
        <sz val="10"/>
        <color rgb="FFFF0000"/>
        <rFont val="Arial"/>
        <family val="2"/>
      </rPr>
      <t>Solicitar acta de instalación.</t>
    </r>
    <r>
      <rPr>
        <sz val="10"/>
        <color theme="1"/>
        <rFont val="Arial"/>
        <family val="2"/>
      </rPr>
      <t xml:space="preserve">
Se sugiere disponer de un cronograma para gestionar los permisos de instalación de las estaciones pendientes.</t>
    </r>
  </si>
  <si>
    <t>Se identificó la reubicación de las estaciones:
1. En área operativa Neiva - 4
2. En área operativa Duitama - 6
3. En área operativa Cali - 5
Dada una revisión preliminar a los precios del mercado, se ajustó la compra de estaciones para Cali en 3.
Se encuentra en elaboración los estudios previos, que incluye los análisis de precios del mercado y del sector, para la instalación.</t>
  </si>
  <si>
    <t>Dados los cambios en la adquisición de los equipos, se debe adelantar de manera inmediata, los ajustes en el presente documento, en aras de brindar información consistente. Adicional, para no incurrir en observaciones de entes externos, como los presentados por la Contraloría General de la República en el informe de auditoría vigencia 2015 (Ver hallazgo 16 -folio 84 -comentarios sobre los cambios y documentos de ajustes a la planeación).
Esta modificación se reportó en los informes de gestión del área (Matriz de indicadores). Por lo anterior, se deben realizar las coodinaciones con  la Oficina Asesora de Planeaciòn para lo lo pertinente.</t>
  </si>
  <si>
    <t>ESTACIONES -Avance a nivel de indentificación de ubicación
RECURSOS -Sin apropiaciòn de recursos de inversiòn</t>
  </si>
  <si>
    <t xml:space="preserve">El Instituto Nacional de Metrología -INM, en el marco de un programa de asistencia técnica metrológica, acompaña técnicamente al IDEAM en los procesos de calibración de tiempo, tensión y corriente DC, volumen, presión, temperatura y humedad.
Se entregaron a la Oficina Asesora Jurìdica los estudios previos para adelantar el contrato interadministrativo con el INM.
</t>
  </si>
  <si>
    <t>ACCIONES -Avance de entrega de estudios previos a la Oficina Asesora Jurídica para evaluación
RECURSOS 0%</t>
  </si>
  <si>
    <t>La actividad no presenta un avance muy significativo, en cuanto a la implementación de acciones, pese a que se adelantan las gestiones del proceso contractual correspondiente.
En atención a que el desarrollo de la actividad, está asociada con unas acciones identificadas en un diagnóstico previo, se sugiere determinar cada una de ellas como referentes, no solo para su cumplimiento, sino como puntos de verificación para avances en el proceso.
Lo anterior sería pertinente, máxime cuando se establece alcanzar un 35% como meta para el 2016, por lo que se require la identificación plena de dichas actividades.</t>
  </si>
  <si>
    <t>(1) -Reuniòn con Gabriel Saldarriaga y William Perdomo, funcionarios del Grupo Operaciòn de Redes, el 8/SPT/16 (6 Actividades - 6 Metas - 21 Productos).
-El Grupo de Operaciòn de Redes no figura como dependencia en el organigrama institucional, por lo que se sugiere confrontar y realizar los ajustes pertinentes. Se sugiere además, revisar la competencia en la aplicación y asignación de recursos.
(2) -Asociar e incluir la acciòn descrita en el Plan Indicativo Cuatrienal 2014-2018, que indica: Fortalecer el sistema de monitoreo y de alertas tempranas.
-Dcto. 2482/12. Metodología para la implementación del Modelo Integrado de Planeación y Gestión. 2.2 GESTIÓN MISIONAL Y DE GOBIERNO. Indicadores y Metas de Gobierno. Los indicadores y metas que se definen como estratégicos son incluidos en el Sistema de Seguimiento a Metas de Gobierno, para su monitoreo permanente por parte de la Presidencia de la República y del Departamento Nacional de Planeación.
Según lo establece la Directiva Presidencial 021 de 2011, toda la información se deberá actualizar mensualmente, a más tardar el día 10 de cada mes. Los jefes de las oficinas de planeación son los responsables de que esta información sea cargada en el aplicativo que existe para tal fin, en la página del Departamento Nacional de Planeación.</t>
  </si>
  <si>
    <t>Se han identificado componentes y elementos del plan.</t>
  </si>
  <si>
    <t>DOCUMENTO -No se dispone de evidencias para determinar un avance significativo
RECURSOS -Sin apropiaciòn de recursos de inversiòn</t>
  </si>
  <si>
    <t>La actividad descrita, no presenta recursos asociados para su desarrollo y a la fecha, el avance reportado en los informes de gestión (Matriz de indicadores), no es muy significativo.
Por lo anterior y dado lo corrido de la vigencia, se sugiere en primer lugar, replantear su cumplimiento para el 2016, adicional al de revisar la pertinencia de incluirla en el presente documento, ya que se genera una gran responsabilidad y un compromiso para el área. Como alternativa para su descripción, se pueden presentar etapas o fases para su consolidación, por lo que se require de una reestructuración.
Coordinar con la Oficina Asesora de Planeaciòn su ajuste, de ser pertinente.</t>
  </si>
  <si>
    <t>Con recursos de inversión se adelantaron los contratos
-88/2016 por $49`971.200
-90/2016 por $49`971.200
-convenio con la Universidad Nacional por $395`000.000
-gastos de viaje y suministro de tiquetes por $10´000.000
Para un total de $504`942.400.
Los recursos de funcionamiento están destinados a cubrir los gastos de viáticos y gastos de viaje al interior por $72`927.501.</t>
  </si>
  <si>
    <t>Con recursos de inversión se suscribió el contrato
-222/2016 por $31´423.488
-suministro de tiquetes por $5´000.000
Para un total de $36`423.488.
Se tiene programado adelantar actividades para la implementación del Programa Nacional de Monitoreo del Recurso Hídrico por $20`000.000.</t>
  </si>
  <si>
    <t>DOCUMENTOS:
Meta 1: Hay versiòn preliminar
Meta 2: 50%
Meta 3: 50% Pendiente complemento
RECURSOS
INVERSION 97% -A nivel de compromisos
FUNCIONAMIENTO
Contratación 41%
Programado 51%</t>
  </si>
  <si>
    <r>
      <t>Con recursos de inversión se adelantó el contrato:
-106/2016 por $48`298.667.</t>
    </r>
    <r>
      <rPr>
        <sz val="10"/>
        <rFont val="Arial"/>
        <family val="2"/>
      </rPr>
      <t xml:space="preserve">
</t>
    </r>
    <r>
      <rPr>
        <sz val="10"/>
        <color rgb="FFFF0000"/>
        <rFont val="Arial"/>
        <family val="2"/>
      </rPr>
      <t xml:space="preserve">
</t>
    </r>
    <r>
      <rPr>
        <sz val="10"/>
        <rFont val="Arial"/>
        <family val="2"/>
      </rPr>
      <t xml:space="preserve">Con los recursos de funcionamiento se han adelantado los contratos:
-243/2016. Inicialmente estaba por $27´000.000 y se ejecutó por $11.833.333,00.
-45/2016 por $39´321.600. 
-Contrato 103/2016 por $67´000.000 -Servicios de transporte.
-Servicio por intercalibración de muestras, programa de Canadian Association for Laboratory Accreditation -CALA por $29´177.231.
Adicionalmente se han programado recursos para:
-Servicios de mantenimiento del equipo por $150´000.000. Se encuentra en ajuste a los estudios previos.
-Compra de insumos por $29´050.000 (compras celdas de cuarzo). Se prevé realizarlo en septiembre 2016.
</t>
    </r>
    <r>
      <rPr>
        <sz val="10"/>
        <color rgb="FFFF0000"/>
        <rFont val="Arial"/>
        <family val="2"/>
      </rPr>
      <t xml:space="preserve">
</t>
    </r>
  </si>
  <si>
    <t>DOCUMENTOS:
Meta 1: 50%
Meta 2: Informes de modelación, pero no se evidenció documento compilado
Meta 3: Se adelanta la incorporación al FEWS con avances significativos para el Río San Jorge y Río Cauca 
Meta 4: 100%
RECURSOS 95% -A nivel de compromisos
FUNCIONAMIENTO 100%</t>
  </si>
  <si>
    <t xml:space="preserve">Con recursos de inversión se adelantan 13 contratos:
-81/2016 por $79`286.000
-84/2016 por $79`286.000
-78/2016.Se programó por $68`357.291 y se ejecutó por $68'350.000.
-79/2016.Se programó por $69`990.400 y se ejecutó por $68'350.000.
-80/2016.Se programó por $69`990.400 y se ejecutó por $68'350.000.
-83/2016.Se programó por $69`990.400 y se ejecutó por $68'350.000.
-95/2016.Se programó por $69`990.400 y se ejecutó por $66'755.167.
-139/2016.Se programó por $56`985.600 y se ejecutó por $55`850.000.
-146/2016 por $43`318.613
-181/2016 por $25`522.857
-251/2016 por $36`000.000
-254/2016.Se ha programado por $39`640.000 y se prevé modificar su valor. 
-258/2016.Se ha programado por $23`040.000 y se prevé modificar su valor.
Para un suma de $722`098.637. Adicionalmente se han ejecutado $19`680.000 en gastos de viaje y suministro de tiquetes, para un total de $741`778.637.
Los recursos de funcionamiento se han programado en su totalidad para el suministro de tiquetes.
</t>
  </si>
  <si>
    <t>Se han realizado los contratos:
-82/2016 por $15`974.400
-89/2016 por $61`440.000
-221/2016 por $28`160.000
-223/2016.Se programó por $30`000.000 y se ejecutó por $22.500.000.
-227/2016 por $28`160.000
-231/2016 por $28`160.000
-275/2016.Se programó por $26`000.000 y se ejecutó por $16´920.000.
Se dispone además de $46`800.000 para viáticos en CDP, para un total de $248`114.400.
Se tienen programados $6`962.400 en un contrato y $9`000.000 para gastos de viaje.</t>
  </si>
  <si>
    <t>NODOS Y TALLERES:
Meta 1: No se pudo evidenciar operación de nodos
Meta 2: 100%
RECURSOS 54% a nivel de compromisos (contratación) y 12,5% en CDP</t>
  </si>
  <si>
    <t>MESES REPORTADOS -No se dispone de evidencias para determinar un avance más significativo
RECURSOS
INVERSION 88%
FUNCIONAMIENTO 99%</t>
  </si>
  <si>
    <r>
      <t xml:space="preserve">Aunque la actividad general y la meta del cuatrienio, consignada en el PND 2014-2018, está asociada con las 530 estaciones que deben ser actualizadas, se adicionó la meta 2 en el presente documento, para actualizar el banco de datos.
Se sugiere separar estas actividades y disponer de metas individuales para tener más claridad en el alcance de cada una de ellas.
Con base en lo planteado en la meta, de lograr el 80% de los meses de datos procesados, como lo establece el indicador, y ante la información suministrada y consignada en los informes de gestión del área (Matriz de indicadores -D:\Jaime\Plan Operativo Anual 2016\Segmnto POA a 30JUN 2016\Redes), se puede estimar que son 19 meses, entre los años 2015 y 2016, que se pretenden actualizar. De otra parte, se puede entender también, que se quiere alcanzar el 80% de los datos generados en cada año.
Con base en los informes citados, se indica que para el año 2015, a la fecha se dispone de un 71% de avance, lo que representa menos de 7 meses de los 9,5 meses de dicha vigencia. De otra parte, para el año 2016, se alcanza un 25%, lo que significa que se han procesado 2,5 meses de los 9,5 meses.
Al confrontar los informes citados, de los últimos 2 bimestres, se evidencia un poco avance en el 4 bimestre, ya que los registrados enel 3 bimestre eran del 70% para el año 2015 y 18%, para el año 2016. En el 4 bimestre, los avances fueron del 71% y 25%, respectivamente. </t>
    </r>
    <r>
      <rPr>
        <sz val="10"/>
        <color rgb="FFFF0000"/>
        <rFont val="Arial"/>
        <family val="2"/>
      </rPr>
      <t>No se pudo evidenciar el registro de los datos.</t>
    </r>
    <r>
      <rPr>
        <sz val="10"/>
        <color theme="1"/>
        <rFont val="Arial"/>
        <family val="2"/>
      </rPr>
      <t xml:space="preserve">
Por lo tanto, se sugiere revisar la descripción de la meta, con el fín de propiciar claridad en su formulación.
Con relación a los recursos, se debe revisar la apropiación en recursos de funcionamiento, ya que en agosto/2016 se presentó un incremento por $50`351.851. Sin embargo, en el plan de contratación suministrado por el área (D:\Jaime\Plan Operativo Anual 2016\Segmnto POA a 30JUN 2016\Redes), figuran para funcionamiento $4.621`550.777.</t>
    </r>
  </si>
  <si>
    <r>
      <t xml:space="preserve">De los $1.814`888.210 como recursos de inversión, se registran:
-Compra equipo -$1.464`888.210
-Viáticos y pago impuesto GMF -$38`864.253
-Contratos prestación de servicios
</t>
    </r>
    <r>
      <rPr>
        <sz val="10"/>
        <color rgb="FFFF0000"/>
        <rFont val="Arial"/>
        <family val="2"/>
      </rPr>
      <t xml:space="preserve">-xxx/2016 por $71`987.200
-xxx/2016 por $15`360.000
</t>
    </r>
    <r>
      <rPr>
        <sz val="10"/>
        <color theme="1"/>
        <rFont val="Arial"/>
        <family val="2"/>
      </rPr>
      <t>Para un total de $1.591`099.663.
De los $4.671`902.628 como recursos de funcionamiento, se registran:
-Transporte -$1.429`695.814
-Pago observadores voluntarios -$1.340`000.000
-Viáticos $826`334.961
-Suministros e insumos -$514`970.551
-Contratos prestación de servicios -$491`284.950 (Servicios técnicos red estaciones en áreas operativas)
Para un total de $4.602`286.276.
Se contempla reasignar recursos de inversión hacia funcionamiento, en atención a que el mantenimiento es permamente y es actividad funcional/misional del IDEAM, con el propósito de asegurar su operatividad.
De igual forma, se estima la compra de equipos para la red de estaciones automáticas, equipos de automatización, equipos para la red convencional y para el grupo de instrumentación y metalmecánica.</t>
    </r>
  </si>
  <si>
    <r>
      <t xml:space="preserve"> </t>
    </r>
    <r>
      <rPr>
        <sz val="9"/>
        <color rgb="FFFF0000"/>
        <rFont val="Arial"/>
        <family val="2"/>
      </rPr>
      <t>Fase I de la construcción de Laboratorio de Calidad Ambiental, adecuación y mantenimiento de las sedes y oficinas a nivel nacional.</t>
    </r>
  </si>
  <si>
    <t>Sedes adecuadas</t>
  </si>
  <si>
    <t xml:space="preserve">Se dispone que la fase I de la actividad comprende la adecuación y mantenimiento de las sedes y oficinas a nivel nacional.
Para la obra se dispone de estudios previos y están pendientes la parte técnica y la financiera. Se realizan ajustes de ítems y precios.
Se realiza el proceso de convocatoria pública para la construcción de laboratorio de calidad ambiental en Puente Aranda.
Respecto a sedes adecuadas, se tienen cotizaciones y está en proceso la elaboración de los estudios previos.
</t>
  </si>
  <si>
    <t>Indicador direccionado por la ejecucion de recursos. Avance 80%</t>
  </si>
  <si>
    <t>Se adelanta por medio del contrato 165/2016 por $258`754.356.</t>
  </si>
  <si>
    <t>Se adelanta por medio del contrato 201/2016 por $14`900.000.</t>
  </si>
  <si>
    <t>Se realizò un primer evento de rendiciòn de cuentas el 22 de abril de 2016.</t>
  </si>
  <si>
    <t>Se realizò la contrataciòn respectiva, que opera desde junio, para adelantar el monitoreo de medios. Dada la fecha de inicio, su avance no es significativo.</t>
  </si>
  <si>
    <t>La actividad està pendiente por contratar, para lo cual se están adelantando los trámites con la Oficina Jurídica para llevar a cabo dicha contratación.</t>
  </si>
  <si>
    <t>No presenta recursos asociados en el Plan de Contratación (D:\Jaime\Plan Operativo Anual 2016\Segmnto POA a 30JUN 2016\Secretaría General).</t>
  </si>
  <si>
    <t>El Plan Institucional de Capacitación (PIC) presenta 12 lìneas programáticas.
Se han adelantado 8 líneas programáticas.</t>
  </si>
  <si>
    <t xml:space="preserve">El plan presenta 3 proyectos de estímulos:
-Premio a la Excelencia individual
-Premio a la Idea Innovadora
-Premio al Mejor Equipo de Trabajo.
El Plan está comtemplado como actividad del Plan de Bienestar.
Adicionalmente se han identificado incentivos en auxilios educativos, para los funcionarios, extensivo a sus hijos. </t>
  </si>
  <si>
    <t>Se dispone de recursos por $158`530.000, para prestar servicios de capacitación.</t>
  </si>
  <si>
    <t xml:space="preserve">Se dispone de recursos $55`000.000, como auxilios educativos. </t>
  </si>
  <si>
    <t>La actividad está centrada en apoyar a las áreas para la contratación de personal, en la contratación de servicios y en la adquisición de elementos para el desarrollo de la misionalidad institucional (Llantas, equipo de oficina, cafetería, viáticos y gastos de viaje).</t>
  </si>
  <si>
    <t xml:space="preserve">La actividad consolida 2 metas del Plan Indicativo Cuatrienal.
Se sugiere revisar la descripción del indicador propuesto para la actividad, ya que es muy global, lo que dificulta medir objetivamente su avance. No hay claridad en la descripciòn de actividades y meta, lo que no permite identificar con exactitud su alcance, dada la unidad de medida de la meta 1. Se sugiere replantear la actividad y disponer, en lo posible, de una previa identificación de áreas con requerimiento de personal de apoyo.
Esta gestiòn debe acatar lo indicado por la Contralorìa General de la Repùblica en el informe de auditorìa vigencia 2015, sobre la oportunidad de los cambios.
Con relación a la ejecución de los recursos de inversión, se puede indicar, que si bien se apoya la gestión de las áreas con personal, se podría establecer de manera previa la identificación de necesidades o requerimientos. El plan de adquisiciones fue publicado oportunamente (D:\Jaime\Plan Operativo Anual 2016\Segmnto POA a 30JUN 2016\Secretaría General). </t>
  </si>
  <si>
    <t>Se adelantó el contrato 196/2016 por $43`707.733.
De otra parte se prevé solicitar al Ministerio de Hacienda vigencias futuras, en cuantías de $552`000.000 y de $48`000.000, para la fase 2 o construcción del laboratorio.
Se dispone de un CDP por valor de $100`000.000 como rango de costo de obras. Segùn los estudios de mercado, se prevé que las obras puedan costar menos, por lo que se podrían presentar liberación de recursos.
Se indica por parte del funcionario responsable de la actividad, que se espera reasignar recursos, para compra de nuevos equipos para el laboratorio de calidad ambiental por obsolecencia de los actuales, por lo que no se dispone del total de los recursos apropiados para 2016.</t>
  </si>
  <si>
    <t>SEDES -No se dispone de información para evidenciar avances significativos
RECURSOS
-Contratación 4% -A nivel de compromisos.
-CDP por $100`000.000.
-Amparar vigencias futuras por $600`000.000 para fase 2</t>
  </si>
  <si>
    <r>
      <t xml:space="preserve">Esta actividad presenta las siguientes consideraciones:
1.La Contraloría General de la República (CGR), en su informe de auditoría vigencia 2015, presentó el hallazgo 15 sobre el Plan de Infraestructura 2015 (Folio 78), donde indican que "Dentro del Plan Estratégico 2015 - 2018 se planteó fortalecer las capacidades .... La meta exige que finalizando el cuatrienio se deben adecuar 12 sedes".
2. El Plan Indicativo Cuatrienal registra como "Producto Esperado", una meta cuatrienio de 8, denominada "Sedes adecuadas a infraestructura".
3.El presente documento, en el cuatrieno, describe para el 2016 una meta de 2 sedes adecuadas.
4.De igual forma, en este documento, en el campo "POA </t>
    </r>
    <r>
      <rPr>
        <u/>
        <sz val="10"/>
        <color theme="1"/>
        <rFont val="Arial"/>
        <family val="2"/>
      </rPr>
      <t>2015</t>
    </r>
    <r>
      <rPr>
        <sz val="10"/>
        <color theme="1"/>
        <rFont val="Arial"/>
        <family val="2"/>
      </rPr>
      <t xml:space="preserve"> - PROYECTO DE INVERSIÓN", se registra que para el indicador de sedes adecuadas, la meta es 1 (subrayado fuera de texto).
Se evidencia, en primera instancia, inconsistencia en la descripción de las metas.
Por lo anterior, se requiere adelantar, de manera inmediata, acciones que permitan aclarar o ajustar, el número de las sedes que indica la CGR frente a las consignadas en el Plan Indicativo Cuatrienal, de igual forma, realizar los ajustes al presente documento.
Todo lo anterior, se debe coordinar con la Oficina Asesora de Planeación.
Se recuerda además, lo planteado por la misma Contraloría, en el sentido de realizar oportunamente las modificaciones para evitar observaciones al respecto (Ver hallazgo 16 -folio 84 -comentarios sobre los cambios y documentos de ajustes a la planeación).
No se pudo evidenciar las gestiones adelantadas en las modificaciones relacionadas con lo descrito en el documento denominado POA2016 BASE de enero del presente año, ya que en éste, se describía como actividad "Construcción Laboratorio Calidad Ambiental - Bogotá" con el indicador "Laboratorio construido".
Para esta vigencia, en la adecuaciòn del edificio principal y la sede de Duitama y pese a que se tienen identificadas las reparaciones locativas, no se han iniciado obras, por lo que dado lo corrido de la vigencia, se deben revisar las acciones que propendan por su efectivo cumplimiento para no ser objeto de futuras observaciones.
Dadas las expectativas, tanto de redireccionar los recursos como las de amparar vigencias futuras para la construcción del laboratorio, se deben tomar las medidas de forma oportuna, que permitan el cumplimiento de los procedimientos en los cambios pertinentes.
No se tienen consideradas etapas previas a la obra, para evidenciar el avance objetivamente.</t>
    </r>
  </si>
  <si>
    <t>Se han programado $50`000.000 para ejecutar.</t>
  </si>
  <si>
    <t>Se presenta una ejecución por $250`000.000 de recursos de inversiòn, en adquisición de equipos multimedia.
Con recursos de funcionamiento y como apoyo a la actividad general, se han adelantado los contratos:
-xx/2016 por $36`057.771
-xx/2016 por $31`061.333</t>
  </si>
  <si>
    <t>META 1
META 2
META 3
META 4
META 5
RECURSOS
INVERSION 93% -A nivel de compromisos
FUNCIONAMIENTO 98%</t>
  </si>
  <si>
    <r>
      <t xml:space="preserve">La presente actividad es una consolidación de 3 indicadores formulados en el Plan Cuatrienal del presente documento, la cual se desarrolla en 5 metas para el 2016, con las siguientes consideraciones:
META 1. El Plan de Contratación relaciona unos recursos por $250`000.000, asociados con prestación de servicios y a la vez se indica que se han </t>
    </r>
    <r>
      <rPr>
        <sz val="10"/>
        <color rgb="FFFF0000"/>
        <rFont val="Arial"/>
        <family val="2"/>
      </rPr>
      <t>adquirido equipos</t>
    </r>
    <r>
      <rPr>
        <sz val="10"/>
        <color theme="1"/>
        <rFont val="Arial"/>
        <family val="2"/>
      </rPr>
      <t xml:space="preserve"> multimedia. </t>
    </r>
    <r>
      <rPr>
        <sz val="10"/>
        <color rgb="FFFF0000"/>
        <rFont val="Arial"/>
        <family val="2"/>
      </rPr>
      <t xml:space="preserve">Figura como prestación de servicios </t>
    </r>
    <r>
      <rPr>
        <sz val="10"/>
        <color theme="1"/>
        <rFont val="Arial"/>
        <family val="2"/>
      </rPr>
      <t xml:space="preserve">
META 2. Con relación al cumplimiento de la meta, se relacionan recursos por $258`754.356, como prestación de servicios, orientados a la grabación, edición, producción, animación, realización y entrega de archivos finalizados de los videos diarios del pronóstico del tiempo que requiere el IDEAM. Los 720 videos corresponden a los 3 videos diarios durante 8 meses, dado el inicio del contrato, el cual fue a partir de mayo/2016.
Sin embargo, se debe revisar el alcance de lo descrito por la Contraloría General de la República en el hallazgo 16 del informe de auditoría vigencia 2015, donde manifiesta que "El indicador no permite medir la gestión directa de la Secretaría General, por cuanto obedece a una labor misional".</t>
    </r>
    <r>
      <rPr>
        <sz val="10"/>
        <color rgb="FFFF0000"/>
        <rFont val="Arial"/>
        <family val="2"/>
      </rPr>
      <t>Evidencia de los videos</t>
    </r>
    <r>
      <rPr>
        <sz val="10"/>
        <color theme="1"/>
        <rFont val="Arial"/>
        <family val="2"/>
      </rPr>
      <t xml:space="preserve">
METAS 3, 4 y 5. Con estas 3 metas se desarrolla el indicador del cuatrienio "Eventos de rendición de cuentas realizados", en 2016.
Meta 3.  Se realizò un primer evento de rendiciòn de cuentas el 22 de abril de 2016. </t>
    </r>
    <r>
      <rPr>
        <sz val="10"/>
        <color rgb="FFFF0000"/>
        <rFont val="Arial"/>
        <family val="2"/>
      </rPr>
      <t>ubicar ruta web</t>
    </r>
    <r>
      <rPr>
        <sz val="10"/>
        <color theme="1"/>
        <rFont val="Arial"/>
        <family val="2"/>
      </rPr>
      <t xml:space="preserve">
Meta 4. </t>
    </r>
    <r>
      <rPr>
        <sz val="10"/>
        <rFont val="Arial"/>
        <family val="2"/>
      </rPr>
      <t>Dada la fecha de inicio del contrato, su avance es mínimo, sin embargo los informes se deben ajustar a lo programado.</t>
    </r>
    <r>
      <rPr>
        <sz val="10"/>
        <color rgb="FFFF0000"/>
        <rFont val="Arial"/>
        <family val="2"/>
      </rPr>
      <t>hay informes</t>
    </r>
    <r>
      <rPr>
        <sz val="10"/>
        <color theme="1"/>
        <rFont val="Arial"/>
        <family val="2"/>
      </rPr>
      <t xml:space="preserve">
Meta 5.  Se proyectan recursos por $50`000.000, mediante contrato</t>
    </r>
    <r>
      <rPr>
        <sz val="10"/>
        <color rgb="FFFF0000"/>
        <rFont val="Arial"/>
        <family val="2"/>
      </rPr>
      <t>. Figura como prestación de servicios</t>
    </r>
    <r>
      <rPr>
        <sz val="10"/>
        <color theme="1"/>
        <rFont val="Arial"/>
        <family val="2"/>
      </rPr>
      <t>.
En la presente vigencia, se presentaron modificaciones en los indicadores de las metas 1 y 5.
La meta 1, contemplaba en el documento denominado POA2016 BASE de enero del presente año como indicador para 2016, el de disponer de un "Plan de mercadeo estratégico elaborado y implementado", el cual se modificó por el de "Adquirir equipos multimedia para difusión contenidos digitales comunicación interna y externa". No se pudo evidenciar el procedimiento aplicado para el cambio.
La meta 5, describía en el indicador formulado inicialmente para 2016, el de disponer de "Productos pedagógicos y metodológicos (agua, tiempo y clima, cambio climático y ecosistemas) elaborado", el cual se cambió por el de "Adquirir Hardware y Software, para divulgación Grupo de Comunicaciones". No se evidenció el proceso de modificación.
Con relación a las modificaciones presentadas, se recuerdan las observaciones de la CGR sobre la oportunidad de los cambios, con el objeto de no propiciar dichas situaciones.
Se sugiere revisar con la Oficina Asesora de Planeación los ajustes pertinentes.
Se presenta una ejecución por $523`654.356 de recursos de inversiòn, más los $50`000.000 que se presentan como programados (Plan de contratación- D:\Jaime\Plan Operativo Anual 2016\Segmnto POA a 30JUN 2016\Secretaría General).</t>
    </r>
  </si>
  <si>
    <t>Se han dispuesto recursos por $379`000.000:
1. $300`820.500, actividades del plan de bienestar social.
2. $48`179.500, para servicios médicos.
3. $30`000.000, para compra de bonos.</t>
  </si>
  <si>
    <t>El plan presenta 2 componentes:
1. Componente de bienestar social.
2. Componente de sistema de seguridad y salud en el trabajo.
Se han definido actividades.
Se van a realizar ajustes presupuestales para la contratación de elementos de protección personal y compra de extintores, para la cobertura del sistema de seguirdad y salud en el trabajo.</t>
  </si>
  <si>
    <t>AVANCES
PIC 3 capacitaciones. 
PLAN BIENESTAR 55%
INCENTIVOS -6 auxilios
RECURSOS 78% -Programados de la apropiación
Sin embargo al verificar la ejecución por meta se tiene:
1. Meta 1. 11%.
1. Meta 2.  2%.
1. Meta 3.  15%.</t>
  </si>
  <si>
    <r>
      <t xml:space="preserve">Las 3 actividades del presente documento, están enmarcadas en el Plan Estratégico de Recursos Humanos.
Para la meta 1, el Plan de Capacitación evidenciado (D:\Jaime\Plan Operativo Anual 2016\Segmnto POA a 30JUN 2016\Secretaría General), presenta 8 líneas programáticas (Anexo 2). Sin embargo, en anexo 5 se presenta el "Diagnóstico necesidades de capacitación priorizado" que contempla 12 proyectos.
Ante los informes de gestión presentados por el área (Matriz de indicadores -D:\Jaime\Plan Operativo Anual 2016\Segmnto POA a 30JUN 2016\Secretaría General), se genera confusión en el momento de registrar las capacitaciones solicitadas por las áreas con las del programa de capacitación. Se sugiere determinar con claridad las capacitaciones, por línea programática o por proyecto para facilitar el avance de eventos realizados.
Se han ejecutado $17`816.750:
-Actualización en Manejo de Archivo. Resolución 637 20ABR16, por $2,721,750.
-Actualización en gestión financiera pública. Resoluciòn 376 15MZO16 por $4,958,500.
-VIII Congreso nacional de presupuesto público. Resolución 1166 8JUN16 por $10.136.500.  
Evidencias D:\Jaime\Plan Operativo Anual 2016\Segmnto POA a 30JUN 2016\Secretaría General.
En la meta 2, el plan está integrado por 2 componentes, a los cuales se les asocian las actividades. Se evidenció (Plan de Bienestar-D:\Jaime\Plan Operativo Anual 2016\Segmnto POA a 30JUN 2016\Secretaría General), que el componente de bienestar tiene 40 actividades y el de seguridad cuenta con 43 actividades.
Se han realizado actividades del componente de bienestar social (27) y del componente de sistema de seguridad y salud en el trabajo (19). Se dispone de CD con evidencias.
No hay ejecución del plan de bienestar social y la compra de bonos se adelanta en diciembre 2016.
Para el proceso de contratación de exámenes médicos se han ejecutado $7.549.500.
De otra parte, en la meta 3, se han beneficiado 3 funcionarios con auxilios educativos por un valor de $3,929,400, conforme a la Resolución 569 del 8ABR2016. </t>
    </r>
    <r>
      <rPr>
        <sz val="10"/>
        <rFont val="Arial"/>
        <family val="2"/>
      </rPr>
      <t>Se evidenció la resolución.
De igual forma, se aprobaron 3 auxilios educativos para otros 3 funcionarios por valor de $4'317.150, en reunión del Comíté de Estímulos e Incentivos (acta no.2). Se evidenció el acta.</t>
    </r>
    <r>
      <rPr>
        <sz val="10"/>
        <color rgb="FFFF0000"/>
        <rFont val="Arial"/>
        <family val="2"/>
      </rPr>
      <t xml:space="preserve">
</t>
    </r>
    <r>
      <rPr>
        <sz val="10"/>
        <color theme="1"/>
        <rFont val="Arial"/>
        <family val="2"/>
      </rPr>
      <t xml:space="preserve">
Con el propósito de motivar y fortalecer la participación de los funcionarios, se debe continuar con las acciones de convocatorias para acceder a estos beneficios.
Se resalta la gestón adelantada por el Instituto ante el ICETEX, al lograr mediante Resolucion 596 del 26/Abril/2016 del ICETEX, se condonaran los creditos educativos de los funcionarios que habiendo culminado sus estudios cumplieron con todos los requisitos para lograr este beneficio. Se evidenci{o el documento.</t>
    </r>
    <r>
      <rPr>
        <sz val="10"/>
        <color rgb="FFFF0000"/>
        <rFont val="Arial"/>
        <family val="2"/>
      </rPr>
      <t xml:space="preserve">
</t>
    </r>
    <r>
      <rPr>
        <sz val="10"/>
        <rFont val="Arial"/>
        <family val="2"/>
      </rPr>
      <t>Del total de los recursos apropiados se han programado $592`530.000 (78%), sin embargo al verificar la ejecución por meta se tiene:
1. Meta 1. Ejecución 11%.
1. Meta 2. Ejecución 2%.
1. Meta 3. Ejecución 15%.
Lo anterior implica, que se deben adelantar acciones para generar una masiva participación en las actividades de personal.</t>
    </r>
  </si>
  <si>
    <t>Apoyo a la Gestión -No se dispone de información para evidenciar avances
RECURSOS
INVERSION 80%
FUNCIONAMIENTO 80%</t>
  </si>
  <si>
    <t>Con recursos de inversión se han adelantado contratos:
-xx/2016 por $42`224.000
-xx/2016 por $71`270.400
-xx/2016 por $71`270.400
-xx/2016 por $71`270.400
-xx/2016 por $71`065.600
-xx/2016 por $70'041.600
-xxx/2016 por $61`388.800
-xxx/2016 por $66`764.800
Para un total de $525`296.000 (80%), orientados al apoyo de servicios profesionales en la Oficina Asesora Jurídica, adicional al de la prórroga de los servicios de grabación de los videos, asociado a la actividad 2.
Los recursos de funcionamiento se han programado en $9.000`871.660,65 (96%), para atender necesidades y robustecer la capacidad, administrativa y financiera del Instituto en el cumplimiento efectivo de los objetivos previstos en la norma. Las aplicaciones más representativas están orientadas a:
- $2.658`191.040, vigencia futura, arrendamiento sede central BOGOTÁ VF 2015 A 2018.
- $1.022`862.753,95 más $369`127.473, para amparar vigencia futura 2016, servicio de vigilancia sedes IDEAM en BOGOTÁ y a nivel nacional. 
- $404`706.893,71, vigencia futura 2016, servicio de aseo y cafetería sede IDEAM en BOGOTÁ y área operativa 11 más $118`099.999,75, para apalancar vigencias futuras.
- $200`000.000, adecuación y mantenimiento locativo a la sede central y al laboratorio de calidad ambiental del IDEAM.
- $151'660.350, vigencia futura, arrendamiento 2 inmuebles: A) Bodega 17 y B) Bodega 18.
- $140`436.012, prestar el servicio de mantenimiento preventivo y correctivo redes electricas y equipos electricos.</t>
  </si>
  <si>
    <t>INFORME -Del cronograma se han desarrollado 4 fases
RECURSOS
INVERSION 88%
FUNCIONAMIENTO 100%</t>
  </si>
  <si>
    <t>Se adelantaron los contratos:
- 94/2016 por $37.700.000
- 207/2016 por $22.117.333
Para un total de $59`817.333.
Los recursos de funcionamiento se han aplicado:
1. $2`986.512, en viáticos y gastos de viaje
2. $22`648.149, para el seguimiento, acompañamiento y evaluación del Sistema de Gestión Ambiental.</t>
  </si>
  <si>
    <r>
      <t xml:space="preserve">Esta actividad se adicionó al producto esperado del cuatrienio (Asegurar la sostenibilidad del Sistema de Gestión Integral de la Entidad) y se adelantó la publicación versión 1 de acuerdo a la normativa y posteriormente la versión 2. Su publicación se registra en la página web institucional. </t>
    </r>
    <r>
      <rPr>
        <sz val="9"/>
        <color rgb="FFFF0000"/>
        <rFont val="Arial"/>
        <family val="2"/>
      </rPr>
      <t>Revisar el informe de monitoreo</t>
    </r>
    <r>
      <rPr>
        <sz val="9"/>
        <color theme="1"/>
        <rFont val="Arial"/>
        <family val="2"/>
      </rPr>
      <t xml:space="preserve">
De otra parte, se sugiere revisar la pertinencia de esta actividad para incluirla en el presente documento (POA2016) o, replantear su ejecución y cumplimiento en un informe de gestión.
En el Plan de contratación del área (D:\Jaime\Plan Operativo Anual 2016\Segmnto POA a 30JUN 2016\Of Planeación), se evidencia una partida por $18´432.000 para "Prestar los servicios profesionales en la Oficina Asesora de Planeación del Instituto, para el monitoreo, seguimiento, ajustes y mejoramiento al Plan Anticorrupción y de Atención al Ciudadano (PAAC 2016) y a los planes de mejoramiento", que no se encuentra contemplado en el presente documento. Se recuerda la observación de la Contraloría General de la República, con respecto a las modificacions en estos documentos (Ver hallazgo 16 -folio 84 -comentarios sobre los cambios y documentos de ajustes a la planeación).</t>
    </r>
  </si>
  <si>
    <r>
      <t>Sin apropiación de recursos de inversión.
El IDEAM aportó en 2015 $3.600`000.000 al Fondo Adaptación para generar el cambio del radar banda X a banda C (Otrosí 3 y Otrosí 4: 
D:\Jaime\Plan Operativo Anual 2016\Segmnto POA a 30JUN 2016\Of Pronósticos)</t>
    </r>
    <r>
      <rPr>
        <sz val="10"/>
        <color rgb="FFFF0000"/>
        <rFont val="Arial"/>
        <family val="2"/>
      </rPr>
      <t>.</t>
    </r>
  </si>
  <si>
    <t xml:space="preserve">Hasta agosto 2016, no se presenta ejecución de recursos.
Se programan para la renovación de la licencia.
</t>
  </si>
  <si>
    <t>Se identificaron los puntos de instalación de los radares meteorológicos:
1.Bahía Málaga.
2.San José del Guaviare.
3.Barrancabermeja.
La Armada Nacional no permitió la instalación del radar en Bahía Málaga (Acta 26AGT16: D:\Jaime\Plan Operativo Anual 2016\Segmnto POA a 30JUN 2016\Of Pronósticos).
El IDEAM gestiona nueva ubicación con ayuda del Ejército Nacional en el Departamento del Cauca (Popayán), para lo cual se tiene previsto llevar a cabo una visita de reconocimiento en septiembre/2016.
Se firmó el convenio 260 de 2016 con Ecopetrol para la instalación del radar meteorológico en Barrancabermeja.
Se adelanta el borrador del convenio con Ejército Nacional, con respecto a la instalación del radar en San José del Guaviare.
El Fondo Adaptación, indicó que el proceso de compra, se inicia solo cuando se firmen todos los contratos de comodato.
Los informes de gestión (Matriz de indicadores) se han elaborado de manera bimestral (D:\Jaime\Plan Operativo Anual 2016\Segmnto POA a 30JUN 2016\Of Pronósticos).</t>
  </si>
  <si>
    <t>En primera instancia se genera confusión con la meta descrita para 2016, que es de 1, en referencia al indicador del 2016, que refiere "informes de gestión adelantados", máxime cuando se contrasta con la información suministrada por los responsables del área, que indican que han generado 4 reportes, que corresponden a los informes de gestión consignados en la matriz de indicadores entregados a la Oficina Asesora de Planeación, de los cuales se evidenció su elaboración (D:\Jaime\Plan Operativo Anual 2016\Segmnto POA a 30JUN 2016\Of Pronósticos).
De otra parte, se tiene que la actividad fue modificada, en atención a las observaciones de la Contraloría General de la República -CGR  en el informe de auditoría vigencia 2015, (Hallazgo 16 -folios 84-85 -Meta no cumplida y el cambio de un radar de banda X a un radar banda C no está sustentado ni presentado formalmente en el Plan de Acción), por lo que se ajustó el alcance de la actividad, al de "Gestión para la implementación de radar meteorológico...".
Se sugiere, ante la condición del Fondo Adaptación, de condicionar el proceso para adquirir los radares, hasta tanto no se firmen todos los convenios, revisar la modificación del indicador, en el sentido de direccionarlos hacia la firma de los convenios, para que sea consistente con la actividad y no generar confusión con los reportes, gestión que debe ser coordinada con la Oficina Asesora de Planeación.
Se evidenció el convenio 260 de 2016 con Ecopetrol para la instalación del radar meteorológico en Barrancabermeja (D:\Jaime\Plan Operativo Anual 2016\Segmnto POA a 30JUN 2016\Of Pronósticos).
Dada la flexibilidad del proceso de planeación, se reitera la observación de la CGR, en el sentido de acatar el procedimiento para las modificaciones que se puedan presentar, siempre y cuando sean oportunos al mismo proceso.
El avance dado sobre los 4 informes de gestión, es del 67%.</t>
  </si>
  <si>
    <t>Los pronósticos se han dado en los boletines (Condiciones hidrometeorológicas actuales) de manera permanente; hasta agosto 20169 se han producido 1220 boletines y al 30 de septiembre de 2016, se elaboró el boletín No. 1372 (D:\Jaime\Plan Operativo Anual 2016\Segmnto POA a 30JUN 2016\Of Pronósticos. El avance es del 67%.
Actualmente, se adelantan gestiones para la renovación de la licencia con el Centro Europeo, aunque el servicio de transmisión de datos no ha sido suspendido (D:\Jaime\Plan Operativo Anual 2016\Segmnto POA a 30JUN 2016\Of Pronósticos).
Se recomienda adelantar los procesos de contratación que permitan la aplicación de los recursos, ya que su ejecución es cero.</t>
  </si>
  <si>
    <t>Se presentan los contratos:
-164/2015 por $37`500.000 (Prórroga vigencia futura 2016) y
-236/2016 por $51`999.900.
Para un total de $89`499.900.</t>
  </si>
  <si>
    <t>BOLETINES -Supera la meta y se sugiere su cambio
RECURSOS 54%</t>
  </si>
  <si>
    <t>Se han generado 1.220 boletines, que sobrepasa la meta 2016.
Se coordina el ajuste con la Oficina Asesora de Planeaciòn.</t>
  </si>
  <si>
    <t>Al considerar el reporte dado por el área sobre la elaboración de los boletines (1220 a agosto/2016) y al confrontar la meta para el 2016, de 100, se genera gran incertidumbre sobre el proceso de planeación y en la descripción de las actividades, ya que la subestimación es considerable. Se sugiere adelantar, en coordinación con la Oficina Asesora de Planeación, las acciones pertinentes para su ajuste.
Por lo anterior, se debe tener en cuenta la observación de la Contraloría General de la Reública, en el sentido de acatar el procedimiento para las modificaciones que se puedan presentar, siempre y cuando sean oportunas.
De otra parte, al verificar la ruta http://goo.gl/U04LnU, ruta suministrada por el área en los informes de gestión (Matriz de indicadores), se evidenció que se direcciona al "Informe Técnico Diario, Nº 244 del 31AGT2016", cuyo número no coincide con lo reportado, por lo que no se pudieron evidenciar los boletines de la actividad.
Se sugiere revisar los insumos que hacen parte de los informes, tanto de esta actividad como los referidos en la actividad 2, dada la similitud en el número de los mismos y ante la confusión de la ruta, con el propósito de aclarar el alcance de cada una de las actividades.
Se sugiere revisar la aplicación de los recursos que no se han comprometido, ya que su nivel de ejecución es del 54%, o de lo contrario, realizar las gestiones pertinentes para su oportuna liberación.</t>
  </si>
  <si>
    <t>Sin apropiación de recursos de inversión.
Los gastos de funcionamiento están a nivel de programados (Nivel de compromisos), por valor de $1.289`935.010, direccionados a los contratos de prestación de servicios (Honorarios y Remuneración servicios técnicos), como apoyo a la Oficina del Servicio de Pronósticos y Alertas, mediante la prestación de turnos de monitoreo diurno y nocturno.</t>
  </si>
  <si>
    <r>
      <t>La Oficina del Servicio de Pronósticos y Alertas presenta el pronóstico semanal en el programa Agenda Colombia del canal institucional de la Presidencia de la República.
Se han adelantado presentaciones de condiciones hidrometeorológicas, en el marco de los Comités de Manejo realizados por la Unidad Nacional de Gestión del Riesgo de Desastres.</t>
    </r>
    <r>
      <rPr>
        <sz val="10"/>
        <color theme="1"/>
        <rFont val="Arial"/>
        <family val="2"/>
      </rPr>
      <t xml:space="preserve">
</t>
    </r>
    <r>
      <rPr>
        <sz val="10"/>
        <color theme="1"/>
        <rFont val="Arial"/>
        <family val="2"/>
      </rPr>
      <t>Se generan boletines  informativos sobre el monitoreo de los Fenómenos de variabilidad climática "El Niño" y "La Niña". 
http://goo.gl/asPdRo.</t>
    </r>
  </si>
  <si>
    <t>Los pronósticos se han dado en los boletines de manera permanente, así como los boletines informativos. Se confrontaron en las rutas indicadas (D:\Jaime\Plan Operativo Anual 2016\Segmnto POA a 30JUN 2016\Of Pronósticos).</t>
  </si>
  <si>
    <t>BOLETINES -67%
RECURSOS 98%</t>
  </si>
  <si>
    <t>(1) Reuniòn con el Sr. Ramiro Villegas funcionario de la Oficina de Pronósticos y Alertas Tempranas, el 9/SPT/16 (5 Actividades - 6 Metas - 5367 Productos), con el apoyo del Sr. Gabriel Saldarriaga.
(2) En el presente documento no se incluyó la acción correspondiente.</t>
  </si>
  <si>
    <t>La Oficina del Servicio de Pronósticos y Alertas genera boletines agrometeorológicos semanales.
La Oficina del Servicio de Pronósticos y Alertas emite boletines de pronóstico para El Cerrejón.</t>
  </si>
  <si>
    <t>BOLETINES -76%
RECURSOS -Sin apropiaciòn de recursos de inversiòn</t>
  </si>
  <si>
    <t>Con base en los informes de gestión, se han elaborado (Matriz de indicadores:D:\Jaime\Plan Operativo Anual 2016\Segmnto POA a 30JUN 2016\Of Pronósticos):
-Boletines agrometeorológicos = 35
-Pronósticos regionales = 853
-Boletines para el Cerrejón = 69
Se dispone entonces de 957 boletines en total, que indica el 76% de lo previsto, lo que puede predecir que la meta se supera.
Los boletines se evidenciaron en la ruta http://goo.gl/WdLwp2 y en D:\Jaime\Plan Operativo Anual 2016\Segmnto POA a 30JUN 2016\Of Pronósticos.
Revisar y ajustar el Plan Indicativo Cuatrienal, ya que éste indica que la meta cuatrienal es de 1.460 para el producto esperado: "Pronósticos especializados a sectores productivos".
Se sugiere además, revisar el alcance dado en el informe de auditoría vigencia 2015 de la CGR, (Hallazgo 16, Folio 83), para atender o anticipar cualquier requerimiento.</t>
  </si>
  <si>
    <t>Seguimiento OCI Agosto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</si>
</sst>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4" formatCode="_(&quot;$&quot;\ * #,##0.00_);_(&quot;$&quot;\ * \(#,##0.00\);_(&quot;$&quot;\ * &quot;-&quot;??_);_(@_)"/>
    <numFmt numFmtId="43" formatCode="_(* #,##0.00_);_(* \(#,##0.00\);_(* &quot;-&quot;??_);_(@_)"/>
    <numFmt numFmtId="164" formatCode="#,##0.0"/>
    <numFmt numFmtId="165" formatCode="[$$-240A]\ #,##0"/>
    <numFmt numFmtId="166" formatCode="&quot;$&quot;\ #,##0.00"/>
    <numFmt numFmtId="167" formatCode="_-* #,##0.00\ _€_-;\-* #,##0.00\ _€_-;_-* &quot;-&quot;??\ _€_-;_-@_-"/>
    <numFmt numFmtId="168" formatCode="[$$-240A]\ #,##0.00_);\([$$-240A]\ #,##0.00\)"/>
    <numFmt numFmtId="169" formatCode="_ * #,##0.00_ ;_ * \-#,##0.00_ ;_ * &quot;-&quot;??_ ;_ @_ "/>
    <numFmt numFmtId="170" formatCode="_ &quot;$&quot;\ * #,##0.00_ ;_ &quot;$&quot;\ * \-#,##0.00_ ;_ &quot;$&quot;\ * &quot;-&quot;??_ ;_ @_ "/>
    <numFmt numFmtId="171" formatCode="_-* #,##0.00\ &quot;€&quot;_-;\-* #,##0.00\ &quot;€&quot;_-;_-* &quot;-&quot;??\ &quot;€&quot;_-;_-@_-"/>
    <numFmt numFmtId="172" formatCode="_ * #,##0_ ;_ * \-#,##0_ ;_ * &quot;-&quot;??_ ;_ @_ "/>
    <numFmt numFmtId="173" formatCode="&quot;$&quot;\ #,##0"/>
    <numFmt numFmtId="174" formatCode="[$$-240A]\ #,##0.00"/>
    <numFmt numFmtId="175" formatCode="_(* #,##0_);_(* \(#,##0\);_(* &quot;-&quot;??_);_(@_)"/>
    <numFmt numFmtId="176" formatCode="_(&quot;$&quot;\ * #,##0_);_(&quot;$&quot;\ * \(#,##0\);_(&quot;$&quot;\ * &quot;-&quot;??_);_(@_)"/>
    <numFmt numFmtId="177" formatCode="0.000"/>
  </numFmts>
  <fonts count="71" x14ac:knownFonts="1">
    <font>
      <sz val="11"/>
      <color theme="1"/>
      <name val="Calibri"/>
      <family val="2"/>
      <scheme val="minor"/>
    </font>
    <font>
      <sz val="10"/>
      <name val="Arial"/>
      <family val="2"/>
    </font>
    <font>
      <b/>
      <sz val="8"/>
      <name val="Arial"/>
      <family val="2"/>
    </font>
    <font>
      <sz val="8"/>
      <name val="Arial"/>
      <family val="2"/>
    </font>
    <font>
      <b/>
      <sz val="12"/>
      <name val="Arial"/>
      <family val="2"/>
    </font>
    <font>
      <sz val="11"/>
      <color indexed="8"/>
      <name val="Calibri"/>
      <family val="2"/>
    </font>
    <font>
      <sz val="9"/>
      <color indexed="81"/>
      <name val="Tahoma"/>
      <family val="2"/>
    </font>
    <font>
      <b/>
      <sz val="14"/>
      <name val="Arial"/>
      <family val="2"/>
    </font>
    <font>
      <sz val="10"/>
      <name val="Arial"/>
      <family val="2"/>
      <charset val="1"/>
    </font>
    <font>
      <sz val="11"/>
      <name val="Arial Narrow"/>
      <family val="2"/>
    </font>
    <font>
      <b/>
      <sz val="11"/>
      <name val="Arial Narrow"/>
      <family val="2"/>
    </font>
    <font>
      <b/>
      <sz val="9"/>
      <name val="Arial Narrow"/>
      <family val="2"/>
    </font>
    <font>
      <sz val="9"/>
      <name val="Arial Narrow"/>
      <family val="2"/>
    </font>
    <font>
      <b/>
      <sz val="9"/>
      <color indexed="8"/>
      <name val="Arial Narrow"/>
      <family val="2"/>
    </font>
    <font>
      <b/>
      <sz val="9"/>
      <color indexed="81"/>
      <name val="Tahoma"/>
      <family val="2"/>
    </font>
    <font>
      <b/>
      <sz val="11"/>
      <name val="Arial"/>
      <family val="2"/>
    </font>
    <font>
      <b/>
      <sz val="10"/>
      <name val="Arial Narrow"/>
      <family val="2"/>
    </font>
    <font>
      <b/>
      <sz val="18"/>
      <name val="Arial"/>
      <family val="2"/>
    </font>
    <font>
      <b/>
      <sz val="18"/>
      <name val="Arial Narrow"/>
      <family val="2"/>
    </font>
    <font>
      <b/>
      <sz val="14"/>
      <name val="Arial Narrow"/>
      <family val="2"/>
    </font>
    <font>
      <sz val="14"/>
      <name val="Arial Narrow"/>
      <family val="2"/>
    </font>
    <font>
      <b/>
      <sz val="12"/>
      <name val="Arial Narrow"/>
      <family val="2"/>
    </font>
    <font>
      <b/>
      <sz val="8"/>
      <name val="Arial Narrow"/>
      <family val="2"/>
    </font>
    <font>
      <sz val="8"/>
      <name val="Arial Narrow"/>
      <family val="2"/>
    </font>
    <font>
      <b/>
      <sz val="20"/>
      <name val="Arial"/>
      <family val="2"/>
    </font>
    <font>
      <sz val="28"/>
      <name val="Arial"/>
      <family val="2"/>
    </font>
    <font>
      <b/>
      <u/>
      <sz val="9"/>
      <color indexed="81"/>
      <name val="Tahoma"/>
      <family val="2"/>
    </font>
    <font>
      <sz val="11"/>
      <color theme="1"/>
      <name val="Calibri"/>
      <family val="2"/>
      <scheme val="minor"/>
    </font>
    <font>
      <b/>
      <sz val="11"/>
      <color theme="1"/>
      <name val="Calibri"/>
      <family val="2"/>
      <scheme val="minor"/>
    </font>
    <font>
      <sz val="11"/>
      <name val="Calibri"/>
      <family val="2"/>
      <scheme val="minor"/>
    </font>
    <font>
      <b/>
      <sz val="14"/>
      <color theme="0"/>
      <name val="Arial"/>
      <family val="2"/>
    </font>
    <font>
      <b/>
      <sz val="9"/>
      <color theme="1"/>
      <name val="Arial Narrow"/>
      <family val="2"/>
    </font>
    <font>
      <sz val="9"/>
      <color theme="1"/>
      <name val="Arial Narrow"/>
      <family val="2"/>
    </font>
    <font>
      <sz val="11"/>
      <color theme="1"/>
      <name val="Arial"/>
      <family val="2"/>
    </font>
    <font>
      <b/>
      <sz val="14"/>
      <color theme="9" tint="-0.249977111117893"/>
      <name val="Arial Narrow"/>
      <family val="2"/>
    </font>
    <font>
      <b/>
      <sz val="14"/>
      <color theme="0"/>
      <name val="Arial Narrow"/>
      <family val="2"/>
    </font>
    <font>
      <b/>
      <sz val="14"/>
      <color theme="1"/>
      <name val="Arial Narrow"/>
      <family val="2"/>
    </font>
    <font>
      <b/>
      <sz val="11"/>
      <color theme="0"/>
      <name val="Arial Narrow"/>
      <family val="2"/>
    </font>
    <font>
      <b/>
      <sz val="9"/>
      <color theme="0"/>
      <name val="Arial Narrow"/>
      <family val="2"/>
    </font>
    <font>
      <sz val="11"/>
      <color theme="1"/>
      <name val="Arial Narrow"/>
      <family val="2"/>
    </font>
    <font>
      <b/>
      <sz val="11"/>
      <color theme="1"/>
      <name val="Arial Narrow"/>
      <family val="2"/>
    </font>
    <font>
      <sz val="9"/>
      <name val="Calibri"/>
      <family val="2"/>
      <scheme val="minor"/>
    </font>
    <font>
      <sz val="9"/>
      <color rgb="FF000000"/>
      <name val="Arial Narrow"/>
      <family val="2"/>
    </font>
    <font>
      <b/>
      <sz val="9"/>
      <name val="Calibri"/>
      <family val="2"/>
      <scheme val="minor"/>
    </font>
    <font>
      <sz val="14"/>
      <color theme="1"/>
      <name val="Arial Narrow"/>
      <family val="2"/>
    </font>
    <font>
      <b/>
      <sz val="14"/>
      <color theme="1"/>
      <name val="Calibri"/>
      <family val="2"/>
      <scheme val="minor"/>
    </font>
    <font>
      <b/>
      <sz val="11"/>
      <color theme="1"/>
      <name val="Arial"/>
      <family val="2"/>
    </font>
    <font>
      <b/>
      <sz val="12"/>
      <color theme="1"/>
      <name val="Arial"/>
      <family val="2"/>
    </font>
    <font>
      <sz val="11"/>
      <color rgb="FFFF0000"/>
      <name val="Calibri"/>
      <family val="2"/>
      <scheme val="minor"/>
    </font>
    <font>
      <sz val="14"/>
      <name val="Arial"/>
      <family val="2"/>
    </font>
    <font>
      <b/>
      <sz val="12"/>
      <color rgb="FFFF0000"/>
      <name val="Arial"/>
      <family val="2"/>
    </font>
    <font>
      <b/>
      <sz val="9"/>
      <color rgb="FFFF0000"/>
      <name val="Arial Narrow"/>
      <family val="2"/>
    </font>
    <font>
      <sz val="12"/>
      <color theme="1"/>
      <name val="Calibri"/>
      <family val="2"/>
      <scheme val="minor"/>
    </font>
    <font>
      <sz val="10"/>
      <name val="Arial Narrow"/>
      <family val="2"/>
    </font>
    <font>
      <sz val="10"/>
      <color theme="1"/>
      <name val="Arial"/>
      <family val="2"/>
    </font>
    <font>
      <sz val="9"/>
      <color theme="1"/>
      <name val="Arial"/>
      <family val="2"/>
    </font>
    <font>
      <sz val="9"/>
      <color rgb="FFFF0000"/>
      <name val="Arial"/>
      <family val="2"/>
    </font>
    <font>
      <sz val="9"/>
      <name val="Arial"/>
      <family val="2"/>
    </font>
    <font>
      <u/>
      <sz val="9"/>
      <color theme="1"/>
      <name val="Arial"/>
      <family val="2"/>
    </font>
    <font>
      <u/>
      <sz val="9"/>
      <name val="Arial"/>
      <family val="2"/>
    </font>
    <font>
      <u/>
      <sz val="9"/>
      <color rgb="FFFF0000"/>
      <name val="Arial"/>
      <family val="2"/>
    </font>
    <font>
      <u/>
      <sz val="10"/>
      <color theme="1"/>
      <name val="Arial"/>
      <family val="2"/>
    </font>
    <font>
      <sz val="10"/>
      <color rgb="FFFF0000"/>
      <name val="Arial"/>
      <family val="2"/>
    </font>
    <font>
      <u/>
      <sz val="10"/>
      <color rgb="FFFF0000"/>
      <name val="Arial"/>
      <family val="2"/>
    </font>
    <font>
      <sz val="12"/>
      <name val="Arial Narrow"/>
      <family val="2"/>
    </font>
    <font>
      <b/>
      <sz val="12"/>
      <color theme="1"/>
      <name val="Arial Narrow"/>
      <family val="2"/>
    </font>
    <font>
      <b/>
      <sz val="12"/>
      <color theme="0"/>
      <name val="Arial Narrow"/>
      <family val="2"/>
    </font>
    <font>
      <u/>
      <sz val="10"/>
      <name val="Arial"/>
      <family val="2"/>
    </font>
    <font>
      <b/>
      <sz val="9"/>
      <name val="Arial"/>
      <family val="2"/>
    </font>
    <font>
      <b/>
      <sz val="10"/>
      <color theme="1"/>
      <name val="Arial"/>
      <family val="2"/>
    </font>
    <font>
      <b/>
      <sz val="10"/>
      <name val="Arial"/>
      <family val="2"/>
    </font>
  </fonts>
  <fills count="19">
    <fill>
      <patternFill patternType="none"/>
    </fill>
    <fill>
      <patternFill patternType="gray125"/>
    </fill>
    <fill>
      <patternFill patternType="solid">
        <fgColor indexed="47"/>
        <bgColor indexed="64"/>
      </patternFill>
    </fill>
    <fill>
      <patternFill patternType="solid">
        <fgColor rgb="FFCCFFFF"/>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rgb="FFFFFFFF"/>
        <bgColor rgb="FFFFFFCC"/>
      </patternFill>
    </fill>
    <fill>
      <patternFill patternType="solid">
        <fgColor theme="0"/>
        <bgColor indexed="64"/>
      </patternFill>
    </fill>
    <fill>
      <patternFill patternType="solid">
        <fgColor rgb="FFFFFF00"/>
        <bgColor indexed="64"/>
      </patternFill>
    </fill>
    <fill>
      <patternFill patternType="solid">
        <fgColor rgb="FFFFFF00"/>
        <bgColor rgb="FFFFFFCC"/>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rgb="FF00B0F0"/>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6" tint="0.59999389629810485"/>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top style="thin">
        <color theme="9" tint="-0.249977111117893"/>
      </top>
      <bottom/>
      <diagonal/>
    </border>
    <border>
      <left style="thin">
        <color theme="9" tint="-0.249977111117893"/>
      </left>
      <right/>
      <top/>
      <bottom/>
      <diagonal/>
    </border>
    <border>
      <left style="thin">
        <color theme="9" tint="-0.249977111117893"/>
      </left>
      <right/>
      <top style="thin">
        <color theme="0"/>
      </top>
      <bottom style="thin">
        <color theme="0"/>
      </bottom>
      <diagonal/>
    </border>
    <border>
      <left style="thin">
        <color theme="9" tint="-0.249977111117893"/>
      </left>
      <right/>
      <top style="thin">
        <color theme="0"/>
      </top>
      <bottom/>
      <diagonal/>
    </border>
    <border>
      <left style="thin">
        <color theme="9" tint="-0.249977111117893"/>
      </left>
      <right/>
      <top/>
      <bottom style="thin">
        <color theme="0"/>
      </bottom>
      <diagonal/>
    </border>
    <border>
      <left/>
      <right style="thin">
        <color theme="9" tint="-0.249977111117893"/>
      </right>
      <top style="thin">
        <color theme="9" tint="-0.249977111117893"/>
      </top>
      <bottom style="thin">
        <color theme="9" tint="-0.249977111117893"/>
      </bottom>
      <diagonal/>
    </border>
    <border>
      <left style="thin">
        <color theme="1"/>
      </left>
      <right style="thin">
        <color theme="1"/>
      </right>
      <top style="thin">
        <color theme="1"/>
      </top>
      <bottom style="thin">
        <color theme="1"/>
      </bottom>
      <diagonal/>
    </border>
    <border>
      <left style="thin">
        <color theme="9" tint="-0.249977111117893"/>
      </left>
      <right style="thin">
        <color theme="9" tint="-0.249977111117893"/>
      </right>
      <top style="thin">
        <color theme="9" tint="-0.249977111117893"/>
      </top>
      <bottom/>
      <diagonal/>
    </border>
    <border>
      <left style="thin">
        <color theme="9" tint="-0.249977111117893"/>
      </left>
      <right style="thin">
        <color theme="9" tint="-0.249977111117893"/>
      </right>
      <top/>
      <bottom style="thin">
        <color theme="9" tint="-0.249977111117893"/>
      </bottom>
      <diagonal/>
    </border>
    <border>
      <left style="thin">
        <color indexed="64"/>
      </left>
      <right/>
      <top/>
      <bottom/>
      <diagonal/>
    </border>
    <border>
      <left/>
      <right/>
      <top style="thin">
        <color indexed="64"/>
      </top>
      <bottom/>
      <diagonal/>
    </border>
    <border>
      <left/>
      <right style="thin">
        <color indexed="64"/>
      </right>
      <top/>
      <bottom/>
      <diagonal/>
    </border>
  </borders>
  <cellStyleXfs count="36">
    <xf numFmtId="0" fontId="0" fillId="0" borderId="0"/>
    <xf numFmtId="169" fontId="1" fillId="0" borderId="0" applyFont="0" applyFill="0" applyBorder="0" applyAlignment="0" applyProtection="0"/>
    <xf numFmtId="169" fontId="1" fillId="0" borderId="0" applyFont="0" applyFill="0" applyBorder="0" applyAlignment="0" applyProtection="0"/>
    <xf numFmtId="43" fontId="27" fillId="0" borderId="0" applyFont="0" applyFill="0" applyBorder="0" applyAlignment="0" applyProtection="0"/>
    <xf numFmtId="167" fontId="5" fillId="0" borderId="0" applyFont="0" applyFill="0" applyBorder="0" applyAlignment="0" applyProtection="0"/>
    <xf numFmtId="169" fontId="1" fillId="0" borderId="0" applyFont="0" applyFill="0" applyBorder="0" applyAlignment="0" applyProtection="0"/>
    <xf numFmtId="167" fontId="1" fillId="0" borderId="0" applyFont="0" applyFill="0" applyBorder="0" applyAlignment="0" applyProtection="0"/>
    <xf numFmtId="169"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167" fontId="5" fillId="0" borderId="0" applyFont="0" applyFill="0" applyBorder="0" applyAlignment="0" applyProtection="0"/>
    <xf numFmtId="44" fontId="27"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44" fontId="5" fillId="0" borderId="0" applyFont="0" applyFill="0" applyBorder="0" applyAlignment="0" applyProtection="0"/>
    <xf numFmtId="171" fontId="1" fillId="0" borderId="0" applyFont="0" applyFill="0" applyBorder="0" applyAlignment="0" applyProtection="0"/>
    <xf numFmtId="44" fontId="5"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 fillId="0" borderId="0" applyFont="0" applyFill="0" applyBorder="0" applyAlignment="0" applyProtection="0"/>
    <xf numFmtId="0" fontId="8" fillId="0" borderId="0"/>
  </cellStyleXfs>
  <cellXfs count="834">
    <xf numFmtId="0" fontId="0" fillId="0" borderId="0" xfId="0"/>
    <xf numFmtId="0" fontId="2" fillId="0" borderId="0" xfId="23" applyFont="1" applyProtection="1">
      <protection locked="0"/>
    </xf>
    <xf numFmtId="0" fontId="3" fillId="0" borderId="0" xfId="23" applyFont="1" applyAlignment="1" applyProtection="1">
      <alignment horizontal="left" vertical="center"/>
      <protection locked="0"/>
    </xf>
    <xf numFmtId="0" fontId="3" fillId="0" borderId="0" xfId="23" applyFont="1" applyProtection="1">
      <protection locked="0"/>
    </xf>
    <xf numFmtId="0" fontId="3" fillId="0" borderId="0" xfId="23" applyFont="1" applyFill="1" applyAlignment="1" applyProtection="1">
      <alignment horizontal="center" vertical="center"/>
      <protection locked="0"/>
    </xf>
    <xf numFmtId="0" fontId="3" fillId="0" borderId="0" xfId="23" applyFont="1" applyFill="1" applyAlignment="1" applyProtection="1">
      <alignment vertical="center"/>
      <protection locked="0"/>
    </xf>
    <xf numFmtId="0" fontId="3" fillId="0" borderId="0" xfId="23" applyFont="1" applyAlignment="1" applyProtection="1">
      <alignment horizontal="center" vertical="center"/>
      <protection locked="0"/>
    </xf>
    <xf numFmtId="0" fontId="2" fillId="0" borderId="0" xfId="23" applyFont="1" applyAlignment="1" applyProtection="1">
      <alignment horizontal="center" vertical="center"/>
      <protection locked="0"/>
    </xf>
    <xf numFmtId="0" fontId="3" fillId="0" borderId="0" xfId="23" applyFont="1" applyFill="1" applyAlignment="1" applyProtection="1">
      <alignment horizontal="left" vertical="center"/>
      <protection locked="0"/>
    </xf>
    <xf numFmtId="0" fontId="3" fillId="0" borderId="0" xfId="23" applyFont="1" applyFill="1" applyBorder="1" applyProtection="1">
      <protection locked="0"/>
    </xf>
    <xf numFmtId="0" fontId="4" fillId="0" borderId="0" xfId="23" applyFont="1" applyProtection="1">
      <protection locked="0"/>
    </xf>
    <xf numFmtId="0" fontId="3" fillId="0" borderId="0" xfId="23" applyFont="1" applyAlignment="1" applyProtection="1">
      <alignment vertical="center"/>
      <protection locked="0"/>
    </xf>
    <xf numFmtId="0" fontId="1" fillId="0" borderId="0" xfId="23" applyFont="1" applyFill="1" applyBorder="1" applyAlignment="1" applyProtection="1">
      <alignment vertical="center"/>
      <protection locked="0"/>
    </xf>
    <xf numFmtId="0" fontId="7" fillId="0" borderId="0" xfId="23" applyFont="1" applyAlignment="1" applyProtection="1">
      <alignment horizontal="center" vertical="center"/>
      <protection locked="0"/>
    </xf>
    <xf numFmtId="0" fontId="1" fillId="0" borderId="0" xfId="23" applyFont="1" applyFill="1" applyBorder="1" applyProtection="1">
      <protection locked="0"/>
    </xf>
    <xf numFmtId="0" fontId="1" fillId="0" borderId="0" xfId="23" applyFont="1" applyFill="1" applyBorder="1" applyAlignment="1" applyProtection="1">
      <alignment vertical="center" wrapText="1"/>
      <protection locked="0"/>
    </xf>
    <xf numFmtId="0" fontId="1" fillId="0" borderId="0" xfId="0" applyFont="1" applyFill="1" applyBorder="1" applyAlignment="1" applyProtection="1">
      <alignment wrapText="1"/>
      <protection locked="0"/>
    </xf>
    <xf numFmtId="166" fontId="1" fillId="0" borderId="0" xfId="23" applyNumberFormat="1" applyFont="1" applyFill="1" applyBorder="1" applyAlignment="1" applyProtection="1">
      <alignment vertical="center" wrapText="1"/>
      <protection locked="0"/>
    </xf>
    <xf numFmtId="0" fontId="10" fillId="0" borderId="0" xfId="23" applyFont="1" applyProtection="1">
      <protection locked="0"/>
    </xf>
    <xf numFmtId="0" fontId="9" fillId="0" borderId="0" xfId="23" applyFont="1" applyAlignment="1" applyProtection="1">
      <alignment horizontal="left" vertical="center"/>
      <protection locked="0"/>
    </xf>
    <xf numFmtId="0" fontId="9" fillId="0" borderId="0" xfId="23" applyFont="1" applyProtection="1">
      <protection locked="0"/>
    </xf>
    <xf numFmtId="0" fontId="9" fillId="0" borderId="0" xfId="23" applyFont="1" applyFill="1" applyAlignment="1" applyProtection="1">
      <alignment horizontal="left" vertical="center"/>
      <protection locked="0"/>
    </xf>
    <xf numFmtId="0" fontId="10" fillId="3" borderId="1" xfId="23" applyFont="1" applyFill="1" applyBorder="1" applyAlignment="1" applyProtection="1">
      <alignment horizontal="center" vertical="center" wrapText="1"/>
      <protection locked="0"/>
    </xf>
    <xf numFmtId="0" fontId="10" fillId="2" borderId="1" xfId="23" applyFont="1" applyFill="1" applyBorder="1" applyAlignment="1" applyProtection="1">
      <alignment horizontal="center" vertical="center" wrapText="1"/>
      <protection locked="0"/>
    </xf>
    <xf numFmtId="0" fontId="10" fillId="2" borderId="2" xfId="23" applyFont="1" applyFill="1" applyBorder="1" applyAlignment="1" applyProtection="1">
      <alignment horizontal="center" vertical="center" wrapText="1"/>
      <protection locked="0"/>
    </xf>
    <xf numFmtId="0" fontId="10" fillId="0" borderId="0" xfId="23" applyFont="1" applyFill="1" applyBorder="1" applyAlignment="1" applyProtection="1">
      <alignment horizontal="center" vertical="center" wrapText="1"/>
      <protection locked="0"/>
    </xf>
    <xf numFmtId="0" fontId="9" fillId="0" borderId="0" xfId="23" applyFont="1" applyFill="1" applyProtection="1">
      <protection locked="0"/>
    </xf>
    <xf numFmtId="165" fontId="9" fillId="0" borderId="0" xfId="0" applyNumberFormat="1" applyFont="1" applyFill="1" applyBorder="1" applyAlignment="1" applyProtection="1">
      <alignment horizontal="justify" vertical="center" wrapText="1"/>
    </xf>
    <xf numFmtId="0" fontId="9" fillId="0" borderId="0" xfId="23" applyFont="1" applyBorder="1" applyAlignment="1" applyProtection="1">
      <alignment horizontal="left" vertical="center"/>
      <protection locked="0"/>
    </xf>
    <xf numFmtId="0" fontId="9" fillId="0" borderId="0" xfId="0" applyFont="1" applyFill="1" applyBorder="1" applyAlignment="1" applyProtection="1">
      <alignment horizontal="center" vertical="center" wrapText="1"/>
    </xf>
    <xf numFmtId="0" fontId="9" fillId="0" borderId="0" xfId="0" applyFont="1" applyFill="1" applyBorder="1" applyAlignment="1" applyProtection="1">
      <alignment horizontal="justify" vertical="center" wrapText="1"/>
    </xf>
    <xf numFmtId="0" fontId="3" fillId="0" borderId="10" xfId="23" applyFont="1" applyFill="1" applyBorder="1" applyAlignment="1" applyProtection="1">
      <alignment horizontal="left" vertical="center"/>
      <protection locked="0"/>
    </xf>
    <xf numFmtId="165" fontId="9" fillId="0" borderId="11" xfId="0" applyNumberFormat="1" applyFont="1" applyFill="1" applyBorder="1" applyAlignment="1" applyProtection="1">
      <alignment horizontal="justify" vertical="center" wrapText="1"/>
    </xf>
    <xf numFmtId="0" fontId="9" fillId="0" borderId="1" xfId="0" applyFont="1" applyFill="1" applyBorder="1" applyAlignment="1" applyProtection="1">
      <alignment horizontal="center" vertical="center" wrapText="1"/>
    </xf>
    <xf numFmtId="0" fontId="9" fillId="0" borderId="1" xfId="0" applyFont="1" applyFill="1" applyBorder="1" applyAlignment="1" applyProtection="1">
      <alignment horizontal="justify" vertical="center" wrapText="1"/>
    </xf>
    <xf numFmtId="165" fontId="9" fillId="0" borderId="3" xfId="0" applyNumberFormat="1" applyFont="1" applyFill="1" applyBorder="1" applyAlignment="1" applyProtection="1">
      <alignment horizontal="justify" vertical="center" wrapText="1"/>
    </xf>
    <xf numFmtId="165" fontId="9" fillId="0" borderId="1" xfId="0" applyNumberFormat="1" applyFont="1" applyFill="1" applyBorder="1" applyAlignment="1" applyProtection="1">
      <alignment horizontal="justify" vertical="center" wrapText="1"/>
    </xf>
    <xf numFmtId="165" fontId="9" fillId="0" borderId="2" xfId="0" applyNumberFormat="1" applyFont="1" applyFill="1" applyBorder="1" applyAlignment="1" applyProtection="1">
      <alignment horizontal="justify" vertical="center" wrapText="1"/>
    </xf>
    <xf numFmtId="168" fontId="3" fillId="0" borderId="0" xfId="23" applyNumberFormat="1" applyFont="1" applyFill="1" applyBorder="1" applyProtection="1">
      <protection locked="0"/>
    </xf>
    <xf numFmtId="44" fontId="1" fillId="0" borderId="0" xfId="23" applyNumberFormat="1" applyFont="1" applyFill="1" applyBorder="1" applyAlignment="1" applyProtection="1">
      <alignment vertical="center" wrapText="1"/>
      <protection locked="0"/>
    </xf>
    <xf numFmtId="0" fontId="29" fillId="0" borderId="0" xfId="0" applyFont="1" applyFill="1"/>
    <xf numFmtId="0" fontId="30" fillId="0" borderId="0" xfId="23" applyFont="1" applyFill="1" applyAlignment="1" applyProtection="1">
      <alignment horizontal="right" vertical="center"/>
      <protection locked="0"/>
    </xf>
    <xf numFmtId="172" fontId="12" fillId="0" borderId="1" xfId="3" applyNumberFormat="1" applyFont="1" applyFill="1" applyBorder="1"/>
    <xf numFmtId="0" fontId="11" fillId="4" borderId="1" xfId="0" applyFont="1" applyFill="1" applyBorder="1" applyAlignment="1">
      <alignment horizontal="center" vertical="center" wrapText="1"/>
    </xf>
    <xf numFmtId="172" fontId="11" fillId="4" borderId="1" xfId="3" applyNumberFormat="1" applyFont="1" applyFill="1" applyBorder="1" applyAlignment="1">
      <alignment horizontal="center" vertical="center" wrapText="1"/>
    </xf>
    <xf numFmtId="0" fontId="11" fillId="4" borderId="1" xfId="0" applyFont="1" applyFill="1" applyBorder="1"/>
    <xf numFmtId="172" fontId="11" fillId="4" borderId="1" xfId="3" applyNumberFormat="1" applyFont="1" applyFill="1" applyBorder="1"/>
    <xf numFmtId="0" fontId="11" fillId="4" borderId="1" xfId="0" applyFont="1" applyFill="1" applyBorder="1" applyAlignment="1">
      <alignment horizontal="justify" vertical="center" wrapText="1"/>
    </xf>
    <xf numFmtId="0" fontId="10" fillId="0" borderId="12" xfId="23" applyFont="1" applyFill="1" applyBorder="1" applyAlignment="1" applyProtection="1">
      <alignment horizontal="center" vertical="center" wrapText="1"/>
      <protection locked="0"/>
    </xf>
    <xf numFmtId="165" fontId="9" fillId="0" borderId="13" xfId="0" applyNumberFormat="1" applyFont="1" applyFill="1" applyBorder="1" applyAlignment="1" applyProtection="1">
      <alignment horizontal="justify" vertical="center" wrapText="1"/>
    </xf>
    <xf numFmtId="0" fontId="9" fillId="0" borderId="11" xfId="23" applyFont="1" applyBorder="1" applyAlignment="1" applyProtection="1">
      <alignment horizontal="left" vertical="center"/>
      <protection locked="0"/>
    </xf>
    <xf numFmtId="0" fontId="9" fillId="0" borderId="14" xfId="23" applyFont="1" applyBorder="1" applyAlignment="1" applyProtection="1">
      <alignment horizontal="left" vertical="center"/>
      <protection locked="0"/>
    </xf>
    <xf numFmtId="168" fontId="17" fillId="4" borderId="1" xfId="23" applyNumberFormat="1" applyFont="1" applyFill="1" applyBorder="1" applyAlignment="1">
      <alignment horizontal="center" vertical="center" wrapText="1"/>
    </xf>
    <xf numFmtId="0" fontId="10" fillId="0" borderId="1" xfId="23" applyFont="1" applyFill="1" applyBorder="1" applyAlignment="1" applyProtection="1">
      <alignment horizontal="left" vertical="center"/>
      <protection locked="0"/>
    </xf>
    <xf numFmtId="0" fontId="11" fillId="0" borderId="1" xfId="0" applyNumberFormat="1"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1" fontId="12" fillId="0" borderId="1" xfId="23" applyNumberFormat="1" applyFont="1" applyFill="1" applyBorder="1" applyAlignment="1" applyProtection="1">
      <alignment horizontal="center" vertical="center" wrapText="1"/>
    </xf>
    <xf numFmtId="0" fontId="12" fillId="0" borderId="1" xfId="23"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65"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center" vertical="center" wrapText="1"/>
    </xf>
    <xf numFmtId="173" fontId="12" fillId="0" borderId="1" xfId="0" applyNumberFormat="1" applyFont="1" applyFill="1" applyBorder="1" applyAlignment="1" applyProtection="1">
      <alignment horizontal="right" vertical="center" wrapText="1"/>
      <protection locked="0"/>
    </xf>
    <xf numFmtId="166" fontId="12"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xf>
    <xf numFmtId="166" fontId="31" fillId="0" borderId="1" xfId="0" applyNumberFormat="1" applyFont="1" applyFill="1" applyBorder="1" applyAlignment="1" applyProtection="1">
      <alignment vertical="center" wrapText="1"/>
      <protection locked="0"/>
    </xf>
    <xf numFmtId="173" fontId="12" fillId="0" borderId="1" xfId="0" applyNumberFormat="1" applyFont="1" applyFill="1" applyBorder="1" applyAlignment="1" applyProtection="1">
      <alignment vertical="center" wrapText="1"/>
      <protection locked="0"/>
    </xf>
    <xf numFmtId="166" fontId="12" fillId="0" borderId="1" xfId="0" applyNumberFormat="1" applyFont="1" applyFill="1" applyBorder="1" applyAlignment="1" applyProtection="1">
      <alignment vertical="center" wrapText="1"/>
      <protection locked="0"/>
    </xf>
    <xf numFmtId="0" fontId="12" fillId="0" borderId="1" xfId="0" applyNumberFormat="1" applyFont="1" applyFill="1" applyBorder="1" applyAlignment="1" applyProtection="1">
      <alignment horizontal="justify" vertical="center" wrapText="1"/>
    </xf>
    <xf numFmtId="9" fontId="12" fillId="0" borderId="1" xfId="23" applyNumberFormat="1" applyFont="1" applyFill="1" applyBorder="1" applyAlignment="1" applyProtection="1">
      <alignment horizontal="center" vertical="center" wrapText="1"/>
    </xf>
    <xf numFmtId="9" fontId="11" fillId="0" borderId="1" xfId="0" applyNumberFormat="1" applyFont="1" applyFill="1" applyBorder="1" applyAlignment="1" applyProtection="1">
      <alignment horizontal="center" vertical="center" wrapText="1"/>
    </xf>
    <xf numFmtId="0" fontId="12" fillId="0" borderId="1" xfId="0" applyNumberFormat="1" applyFont="1" applyFill="1" applyBorder="1" applyAlignment="1" applyProtection="1">
      <alignment horizontal="left" vertical="center" wrapText="1"/>
    </xf>
    <xf numFmtId="0" fontId="12" fillId="0" borderId="1" xfId="23" applyFont="1" applyFill="1" applyBorder="1" applyAlignment="1" applyProtection="1">
      <alignment horizontal="left" vertical="center" wrapText="1"/>
    </xf>
    <xf numFmtId="173" fontId="31" fillId="0" borderId="1" xfId="0" applyNumberFormat="1" applyFont="1" applyFill="1" applyBorder="1" applyAlignment="1" applyProtection="1">
      <alignment horizontal="right" vertical="center" wrapText="1"/>
      <protection locked="0"/>
    </xf>
    <xf numFmtId="0" fontId="12" fillId="0" borderId="1" xfId="0" applyNumberFormat="1" applyFont="1" applyFill="1" applyBorder="1" applyAlignment="1" applyProtection="1">
      <alignment vertical="center" wrapText="1"/>
    </xf>
    <xf numFmtId="0" fontId="12" fillId="0" borderId="1" xfId="0" applyFont="1" applyFill="1" applyBorder="1" applyAlignment="1" applyProtection="1">
      <alignment vertical="center" wrapText="1"/>
    </xf>
    <xf numFmtId="165" fontId="12" fillId="0" borderId="1" xfId="0" applyNumberFormat="1" applyFont="1" applyFill="1" applyBorder="1" applyAlignment="1" applyProtection="1">
      <alignment vertical="center" wrapText="1"/>
    </xf>
    <xf numFmtId="173" fontId="31" fillId="0" borderId="1" xfId="0" applyNumberFormat="1" applyFont="1" applyFill="1" applyBorder="1" applyAlignment="1" applyProtection="1">
      <alignment vertical="center" wrapText="1"/>
      <protection locked="0"/>
    </xf>
    <xf numFmtId="0" fontId="32" fillId="0" borderId="1" xfId="0" applyNumberFormat="1" applyFont="1" applyFill="1" applyBorder="1" applyAlignment="1" applyProtection="1">
      <alignment horizontal="justify" vertical="center" wrapText="1"/>
    </xf>
    <xf numFmtId="0" fontId="32" fillId="0" borderId="1" xfId="0" applyFont="1" applyFill="1" applyBorder="1" applyAlignment="1" applyProtection="1">
      <alignment horizontal="justify" vertical="center" wrapText="1"/>
    </xf>
    <xf numFmtId="1" fontId="32" fillId="0" borderId="1" xfId="23" applyNumberFormat="1" applyFont="1" applyFill="1" applyBorder="1" applyAlignment="1" applyProtection="1">
      <alignment horizontal="center" vertical="center" wrapText="1"/>
    </xf>
    <xf numFmtId="166" fontId="11" fillId="0" borderId="1" xfId="0" applyNumberFormat="1" applyFont="1" applyFill="1" applyBorder="1" applyAlignment="1" applyProtection="1">
      <alignment horizontal="right" vertical="center" wrapText="1"/>
      <protection locked="0"/>
    </xf>
    <xf numFmtId="3" fontId="12" fillId="0" borderId="1" xfId="0" applyNumberFormat="1" applyFont="1" applyFill="1" applyBorder="1" applyAlignment="1" applyProtection="1">
      <alignment horizontal="center" vertical="center" wrapText="1"/>
    </xf>
    <xf numFmtId="166" fontId="12" fillId="0" borderId="1" xfId="23"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0" fontId="11" fillId="4" borderId="1" xfId="23"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0" fontId="11" fillId="0" borderId="1" xfId="23" applyFont="1" applyFill="1" applyBorder="1" applyAlignment="1" applyProtection="1">
      <alignment horizontal="center" vertical="center" wrapText="1"/>
    </xf>
    <xf numFmtId="9" fontId="11" fillId="0" borderId="1" xfId="23" applyNumberFormat="1" applyFont="1" applyFill="1" applyBorder="1" applyAlignment="1" applyProtection="1">
      <alignment horizontal="center" vertical="center" wrapText="1"/>
    </xf>
    <xf numFmtId="168" fontId="15" fillId="4" borderId="1" xfId="23" applyNumberFormat="1" applyFont="1" applyFill="1" applyBorder="1" applyAlignment="1">
      <alignment horizontal="center" vertical="center" wrapText="1"/>
    </xf>
    <xf numFmtId="0" fontId="33" fillId="0" borderId="0" xfId="0" applyFont="1"/>
    <xf numFmtId="0" fontId="19" fillId="0" borderId="1" xfId="23" applyFont="1" applyFill="1" applyBorder="1" applyAlignment="1" applyProtection="1">
      <alignment horizontal="left" vertical="center"/>
      <protection locked="0"/>
    </xf>
    <xf numFmtId="0" fontId="34" fillId="5" borderId="1" xfId="23" applyFont="1" applyFill="1" applyBorder="1" applyAlignment="1" applyProtection="1">
      <alignment vertical="center"/>
      <protection locked="0"/>
    </xf>
    <xf numFmtId="0" fontId="19" fillId="6" borderId="1" xfId="23" applyFont="1" applyFill="1" applyBorder="1" applyAlignment="1" applyProtection="1">
      <alignment vertical="center"/>
      <protection locked="0"/>
    </xf>
    <xf numFmtId="0" fontId="19" fillId="6" borderId="1" xfId="23" applyFont="1" applyFill="1" applyBorder="1" applyAlignment="1" applyProtection="1">
      <alignment horizontal="center" vertical="center"/>
      <protection locked="0"/>
    </xf>
    <xf numFmtId="0" fontId="19" fillId="6" borderId="1" xfId="23" applyFont="1" applyFill="1" applyBorder="1" applyAlignment="1" applyProtection="1">
      <alignment vertical="center" wrapText="1"/>
      <protection locked="0"/>
    </xf>
    <xf numFmtId="164" fontId="19" fillId="6" borderId="1" xfId="23" applyNumberFormat="1" applyFont="1" applyFill="1" applyBorder="1" applyAlignment="1" applyProtection="1">
      <alignment vertical="center" wrapText="1"/>
      <protection locked="0"/>
    </xf>
    <xf numFmtId="0" fontId="19" fillId="0" borderId="1" xfId="23" applyFont="1" applyFill="1" applyBorder="1" applyAlignment="1" applyProtection="1">
      <alignment horizontal="center" vertical="center" wrapText="1"/>
      <protection locked="0"/>
    </xf>
    <xf numFmtId="0" fontId="35" fillId="7" borderId="1" xfId="23" applyFont="1" applyFill="1" applyBorder="1" applyAlignment="1" applyProtection="1">
      <alignment horizontal="center" vertical="center" wrapText="1"/>
      <protection locked="0"/>
    </xf>
    <xf numFmtId="164" fontId="19" fillId="6" borderId="1" xfId="23"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165" fontId="20" fillId="0" borderId="1" xfId="0" applyNumberFormat="1" applyFont="1" applyFill="1" applyBorder="1" applyAlignment="1" applyProtection="1">
      <alignment horizontal="justify" vertical="center" wrapText="1"/>
    </xf>
    <xf numFmtId="3" fontId="20" fillId="0" borderId="1" xfId="0" applyNumberFormat="1" applyFont="1" applyFill="1" applyBorder="1" applyAlignment="1" applyProtection="1">
      <alignment horizontal="center" vertical="center" wrapText="1"/>
    </xf>
    <xf numFmtId="166" fontId="19" fillId="0" borderId="1" xfId="0" applyNumberFormat="1" applyFont="1" applyFill="1" applyBorder="1" applyAlignment="1" applyProtection="1">
      <alignment horizontal="right" vertical="center" wrapText="1"/>
      <protection locked="0"/>
    </xf>
    <xf numFmtId="166" fontId="20" fillId="0" borderId="1" xfId="0" applyNumberFormat="1" applyFont="1" applyFill="1" applyBorder="1" applyAlignment="1" applyProtection="1">
      <alignment horizontal="right" vertical="center" wrapText="1"/>
      <protection locked="0"/>
    </xf>
    <xf numFmtId="166" fontId="20" fillId="0" borderId="1" xfId="0" applyNumberFormat="1" applyFont="1" applyFill="1" applyBorder="1" applyAlignment="1" applyProtection="1">
      <alignment horizontal="center" vertical="center" wrapText="1"/>
      <protection locked="0"/>
    </xf>
    <xf numFmtId="0" fontId="19" fillId="4" borderId="1" xfId="23" applyFont="1" applyFill="1" applyBorder="1" applyAlignment="1" applyProtection="1">
      <alignment horizontal="center" vertical="center" wrapText="1"/>
      <protection locked="0"/>
    </xf>
    <xf numFmtId="164" fontId="19" fillId="4" borderId="1" xfId="23" applyNumberFormat="1" applyFont="1" applyFill="1" applyBorder="1" applyAlignment="1" applyProtection="1">
      <alignment horizontal="center" vertical="center" wrapText="1"/>
      <protection locked="0"/>
    </xf>
    <xf numFmtId="0" fontId="19"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center" vertical="center" wrapText="1"/>
    </xf>
    <xf numFmtId="0" fontId="19" fillId="0" borderId="1" xfId="23" applyFont="1" applyFill="1" applyBorder="1" applyAlignment="1" applyProtection="1">
      <alignment horizontal="center" vertical="center" wrapText="1"/>
    </xf>
    <xf numFmtId="0" fontId="20" fillId="0" borderId="1" xfId="23" applyFont="1" applyFill="1" applyBorder="1" applyAlignment="1" applyProtection="1">
      <alignment horizontal="left" vertical="center" wrapText="1"/>
    </xf>
    <xf numFmtId="166" fontId="36" fillId="0" borderId="1" xfId="0" applyNumberFormat="1" applyFont="1" applyFill="1" applyBorder="1" applyAlignment="1" applyProtection="1">
      <alignment horizontal="right" vertical="center" wrapText="1"/>
      <protection locked="0"/>
    </xf>
    <xf numFmtId="0" fontId="35" fillId="4" borderId="1" xfId="23" applyFont="1" applyFill="1" applyBorder="1" applyAlignment="1" applyProtection="1">
      <alignment horizontal="left" vertical="center"/>
      <protection locked="0"/>
    </xf>
    <xf numFmtId="0" fontId="20" fillId="0" borderId="1" xfId="23" applyFont="1" applyFill="1" applyBorder="1" applyAlignment="1" applyProtection="1">
      <alignment horizontal="center" vertical="center" wrapText="1"/>
    </xf>
    <xf numFmtId="3" fontId="19" fillId="0" borderId="1" xfId="23" applyNumberFormat="1" applyFont="1" applyFill="1" applyBorder="1" applyAlignment="1" applyProtection="1">
      <alignment horizontal="center" vertical="center" wrapText="1"/>
      <protection locked="0"/>
    </xf>
    <xf numFmtId="0" fontId="19" fillId="4" borderId="1" xfId="23" applyFont="1" applyFill="1" applyBorder="1" applyAlignment="1" applyProtection="1">
      <alignment horizontal="center" vertical="center"/>
      <protection locked="0"/>
    </xf>
    <xf numFmtId="0" fontId="19" fillId="0" borderId="1" xfId="0" applyNumberFormat="1" applyFont="1" applyFill="1" applyBorder="1" applyAlignment="1" applyProtection="1">
      <alignment horizontal="justify" vertical="center" wrapText="1"/>
    </xf>
    <xf numFmtId="0" fontId="20" fillId="0" borderId="1" xfId="0" applyFont="1" applyFill="1" applyBorder="1" applyAlignment="1" applyProtection="1">
      <alignment horizontal="justify" vertical="center" wrapText="1"/>
    </xf>
    <xf numFmtId="44" fontId="19" fillId="0" borderId="1" xfId="0" applyNumberFormat="1" applyFont="1" applyFill="1" applyBorder="1" applyAlignment="1" applyProtection="1">
      <alignment horizontal="justify" vertical="center" wrapText="1"/>
    </xf>
    <xf numFmtId="44" fontId="20" fillId="0" borderId="1" xfId="11" applyFont="1" applyFill="1" applyBorder="1" applyAlignment="1" applyProtection="1">
      <alignment horizontal="justify" vertical="center" wrapText="1"/>
    </xf>
    <xf numFmtId="166" fontId="20" fillId="0" borderId="1" xfId="0" applyNumberFormat="1" applyFont="1" applyFill="1" applyBorder="1" applyAlignment="1" applyProtection="1">
      <alignment vertical="center" wrapText="1"/>
      <protection locked="0"/>
    </xf>
    <xf numFmtId="166" fontId="19" fillId="0" borderId="1" xfId="0" applyNumberFormat="1" applyFont="1" applyFill="1" applyBorder="1" applyAlignment="1" applyProtection="1">
      <alignment vertical="center" wrapText="1"/>
      <protection locked="0"/>
    </xf>
    <xf numFmtId="165" fontId="20" fillId="0" borderId="1" xfId="0" applyNumberFormat="1" applyFont="1" applyFill="1" applyBorder="1" applyAlignment="1" applyProtection="1">
      <alignment vertical="center" wrapText="1"/>
    </xf>
    <xf numFmtId="3" fontId="19" fillId="0" borderId="1" xfId="0" applyNumberFormat="1" applyFont="1" applyFill="1" applyBorder="1" applyAlignment="1" applyProtection="1">
      <alignment horizontal="center" vertical="center" wrapText="1"/>
    </xf>
    <xf numFmtId="3" fontId="20" fillId="0" borderId="1" xfId="0" applyNumberFormat="1" applyFont="1" applyFill="1" applyBorder="1" applyAlignment="1" applyProtection="1">
      <alignment vertical="center" wrapText="1"/>
    </xf>
    <xf numFmtId="168" fontId="10" fillId="4" borderId="1" xfId="23" applyNumberFormat="1" applyFont="1" applyFill="1" applyBorder="1" applyAlignment="1">
      <alignment horizontal="center" vertical="center" wrapText="1"/>
    </xf>
    <xf numFmtId="9" fontId="12" fillId="0" borderId="1" xfId="0" applyNumberFormat="1" applyFont="1" applyFill="1" applyBorder="1" applyAlignment="1" applyProtection="1">
      <alignment horizontal="center" vertical="center" wrapText="1"/>
    </xf>
    <xf numFmtId="9" fontId="11" fillId="0" borderId="1" xfId="29" applyFont="1" applyFill="1" applyBorder="1" applyAlignment="1" applyProtection="1">
      <alignment horizontal="center" vertical="center" wrapText="1"/>
    </xf>
    <xf numFmtId="0" fontId="10" fillId="0" borderId="1" xfId="23" applyFont="1" applyFill="1" applyBorder="1" applyAlignment="1" applyProtection="1">
      <alignment vertical="center"/>
      <protection locked="0"/>
    </xf>
    <xf numFmtId="0" fontId="37" fillId="0" borderId="1" xfId="23" applyFont="1" applyFill="1" applyBorder="1" applyAlignment="1" applyProtection="1">
      <alignment vertical="center"/>
      <protection locked="0"/>
    </xf>
    <xf numFmtId="0" fontId="38" fillId="0" borderId="1" xfId="23" applyFont="1" applyFill="1" applyBorder="1" applyAlignment="1" applyProtection="1">
      <alignment vertical="center"/>
      <protection locked="0"/>
    </xf>
    <xf numFmtId="0" fontId="12" fillId="4" borderId="1" xfId="23" applyFont="1" applyFill="1" applyBorder="1" applyAlignment="1" applyProtection="1">
      <alignment horizontal="left" vertical="center"/>
      <protection locked="0"/>
    </xf>
    <xf numFmtId="0" fontId="11" fillId="4" borderId="1" xfId="23" applyFont="1" applyFill="1" applyBorder="1" applyAlignment="1" applyProtection="1">
      <alignment horizontal="justify" vertical="center" wrapText="1"/>
      <protection locked="0"/>
    </xf>
    <xf numFmtId="3" fontId="11" fillId="0" borderId="1" xfId="0" applyNumberFormat="1" applyFont="1" applyFill="1" applyBorder="1" applyAlignment="1" applyProtection="1">
      <alignment horizontal="center" vertical="center" wrapText="1"/>
    </xf>
    <xf numFmtId="166" fontId="10" fillId="4" borderId="1" xfId="23" applyNumberFormat="1" applyFont="1" applyFill="1" applyBorder="1" applyAlignment="1" applyProtection="1">
      <alignment horizontal="right" vertical="center" wrapText="1"/>
      <protection locked="0"/>
    </xf>
    <xf numFmtId="166" fontId="32" fillId="0" borderId="1" xfId="0" applyNumberFormat="1" applyFont="1" applyFill="1" applyBorder="1" applyAlignment="1" applyProtection="1">
      <alignment vertical="center" wrapText="1"/>
      <protection locked="0"/>
    </xf>
    <xf numFmtId="164" fontId="12" fillId="0" borderId="1" xfId="23" applyNumberFormat="1" applyFont="1" applyFill="1" applyBorder="1" applyAlignment="1" applyProtection="1">
      <alignment vertical="center" wrapText="1"/>
      <protection locked="0"/>
    </xf>
    <xf numFmtId="9" fontId="12" fillId="0" borderId="1" xfId="29" applyFont="1" applyFill="1" applyBorder="1" applyAlignment="1" applyProtection="1">
      <alignment horizontal="center" vertical="center" wrapText="1"/>
    </xf>
    <xf numFmtId="0" fontId="12" fillId="8" borderId="1" xfId="35" applyFont="1" applyFill="1" applyBorder="1" applyAlignment="1" applyProtection="1">
      <alignment horizontal="center" vertical="center" wrapText="1"/>
    </xf>
    <xf numFmtId="166" fontId="31" fillId="0" borderId="1" xfId="0" applyNumberFormat="1" applyFont="1" applyFill="1" applyBorder="1" applyAlignment="1" applyProtection="1">
      <alignment horizontal="right" vertical="center" wrapText="1"/>
      <protection locked="0"/>
    </xf>
    <xf numFmtId="0" fontId="12" fillId="8" borderId="1" xfId="0" applyFont="1" applyFill="1" applyBorder="1" applyAlignment="1" applyProtection="1">
      <alignment horizontal="center" vertical="center" wrapText="1"/>
    </xf>
    <xf numFmtId="0" fontId="32" fillId="0" borderId="1" xfId="0" applyFont="1" applyFill="1" applyBorder="1" applyAlignment="1">
      <alignment horizontal="center" vertical="center"/>
    </xf>
    <xf numFmtId="9" fontId="32" fillId="0" borderId="1" xfId="0" applyNumberFormat="1" applyFont="1" applyFill="1" applyBorder="1" applyAlignment="1">
      <alignment horizontal="center" vertical="center"/>
    </xf>
    <xf numFmtId="166" fontId="32" fillId="0" borderId="1" xfId="23" applyNumberFormat="1" applyFont="1" applyFill="1" applyBorder="1" applyAlignment="1" applyProtection="1">
      <alignment horizontal="right" vertical="center" wrapText="1"/>
      <protection locked="0"/>
    </xf>
    <xf numFmtId="3" fontId="11" fillId="4" borderId="1" xfId="23" applyNumberFormat="1" applyFont="1" applyFill="1" applyBorder="1" applyAlignment="1" applyProtection="1">
      <alignment horizontal="center" vertical="center" wrapText="1"/>
      <protection locked="0"/>
    </xf>
    <xf numFmtId="165" fontId="12" fillId="9" borderId="1" xfId="0" applyNumberFormat="1" applyFont="1" applyFill="1" applyBorder="1" applyAlignment="1" applyProtection="1">
      <alignment horizontal="justify" vertical="center" wrapText="1"/>
    </xf>
    <xf numFmtId="1" fontId="11" fillId="0" borderId="1" xfId="0" applyNumberFormat="1" applyFont="1" applyFill="1" applyBorder="1" applyAlignment="1" applyProtection="1">
      <alignment horizontal="center" vertical="center" wrapText="1"/>
    </xf>
    <xf numFmtId="1" fontId="12" fillId="0" borderId="1" xfId="0" applyNumberFormat="1" applyFont="1" applyFill="1" applyBorder="1" applyAlignment="1" applyProtection="1">
      <alignment horizontal="center" vertical="center" wrapText="1"/>
    </xf>
    <xf numFmtId="168" fontId="15" fillId="0" borderId="1" xfId="23" applyNumberFormat="1" applyFont="1" applyFill="1" applyBorder="1" applyAlignment="1">
      <alignment horizontal="center" vertical="center" wrapText="1"/>
    </xf>
    <xf numFmtId="0" fontId="11" fillId="0" borderId="1" xfId="23" applyFont="1" applyFill="1" applyBorder="1" applyAlignment="1" applyProtection="1">
      <alignment horizontal="center" vertical="center" wrapText="1"/>
      <protection locked="0"/>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xf numFmtId="0" fontId="12" fillId="0" borderId="1" xfId="23" applyFont="1" applyFill="1" applyBorder="1" applyAlignment="1" applyProtection="1">
      <alignment horizontal="center" vertical="center" wrapText="1"/>
      <protection locked="0"/>
    </xf>
    <xf numFmtId="0" fontId="12" fillId="0" borderId="1" xfId="0" applyFont="1" applyFill="1" applyBorder="1" applyAlignment="1">
      <alignment horizontal="center" vertical="center"/>
    </xf>
    <xf numFmtId="1" fontId="11" fillId="0" borderId="1" xfId="33" applyNumberFormat="1" applyFont="1" applyFill="1" applyBorder="1" applyAlignment="1" applyProtection="1">
      <alignment horizontal="center" vertical="center" wrapText="1"/>
    </xf>
    <xf numFmtId="1" fontId="11" fillId="9" borderId="1" xfId="33" applyNumberFormat="1" applyFont="1" applyFill="1" applyBorder="1" applyAlignment="1" applyProtection="1">
      <alignment horizontal="center" vertical="center" wrapText="1"/>
    </xf>
    <xf numFmtId="9" fontId="11" fillId="0" borderId="1" xfId="33" applyFont="1" applyFill="1" applyBorder="1" applyAlignment="1" applyProtection="1">
      <alignment horizontal="center" vertical="center" wrapText="1"/>
    </xf>
    <xf numFmtId="0" fontId="39" fillId="0" borderId="0" xfId="0" applyFont="1"/>
    <xf numFmtId="0" fontId="40" fillId="0" borderId="1" xfId="0" applyFont="1" applyBorder="1" applyAlignment="1">
      <alignment horizontal="center"/>
    </xf>
    <xf numFmtId="168" fontId="15" fillId="4" borderId="1" xfId="23" applyNumberFormat="1" applyFont="1" applyFill="1" applyBorder="1" applyAlignment="1">
      <alignment horizontal="right" vertical="center" wrapText="1"/>
    </xf>
    <xf numFmtId="172" fontId="41" fillId="0" borderId="1" xfId="0" applyNumberFormat="1" applyFont="1" applyBorder="1"/>
    <xf numFmtId="0" fontId="13" fillId="4" borderId="1" xfId="0" applyFont="1" applyFill="1" applyBorder="1" applyAlignment="1">
      <alignment horizontal="left" vertical="center" wrapText="1"/>
    </xf>
    <xf numFmtId="166" fontId="0" fillId="0" borderId="0" xfId="0" applyNumberFormat="1"/>
    <xf numFmtId="168" fontId="0" fillId="0" borderId="0" xfId="0" applyNumberFormat="1"/>
    <xf numFmtId="172" fontId="10" fillId="0" borderId="1" xfId="3" applyNumberFormat="1" applyFont="1" applyFill="1" applyBorder="1"/>
    <xf numFmtId="172" fontId="21" fillId="0" borderId="1" xfId="3" applyNumberFormat="1" applyFont="1" applyFill="1" applyBorder="1"/>
    <xf numFmtId="172" fontId="28" fillId="0" borderId="1" xfId="0" applyNumberFormat="1" applyFont="1" applyBorder="1"/>
    <xf numFmtId="0" fontId="10" fillId="0" borderId="2" xfId="23" applyFont="1" applyFill="1" applyBorder="1" applyAlignment="1" applyProtection="1">
      <alignment vertical="center"/>
      <protection locked="0"/>
    </xf>
    <xf numFmtId="0" fontId="10" fillId="0" borderId="4" xfId="23" applyFont="1" applyFill="1" applyBorder="1" applyAlignment="1" applyProtection="1">
      <alignment vertical="center"/>
      <protection locked="0"/>
    </xf>
    <xf numFmtId="0" fontId="10" fillId="0" borderId="5" xfId="23" applyFont="1" applyFill="1" applyBorder="1" applyAlignment="1" applyProtection="1">
      <alignment vertical="center"/>
      <protection locked="0"/>
    </xf>
    <xf numFmtId="4" fontId="10" fillId="4" borderId="1" xfId="23" applyNumberFormat="1" applyFont="1" applyFill="1" applyBorder="1" applyAlignment="1">
      <alignment horizontal="right" vertical="center" wrapText="1"/>
    </xf>
    <xf numFmtId="168" fontId="10" fillId="4" borderId="1" xfId="23" applyNumberFormat="1" applyFont="1" applyFill="1" applyBorder="1" applyAlignment="1">
      <alignment horizontal="right" vertical="center" wrapText="1"/>
    </xf>
    <xf numFmtId="172" fontId="10" fillId="4" borderId="1" xfId="3" applyNumberFormat="1" applyFont="1" applyFill="1" applyBorder="1"/>
    <xf numFmtId="168" fontId="17" fillId="4" borderId="1" xfId="23" applyNumberFormat="1" applyFont="1" applyFill="1" applyBorder="1" applyAlignment="1">
      <alignment horizontal="right" vertical="center" wrapText="1"/>
    </xf>
    <xf numFmtId="0" fontId="2" fillId="0" borderId="0" xfId="23" applyFont="1" applyFill="1" applyAlignment="1" applyProtection="1">
      <alignment horizontal="left" vertical="center"/>
      <protection locked="0"/>
    </xf>
    <xf numFmtId="3" fontId="12" fillId="0" borderId="15" xfId="0" applyNumberFormat="1" applyFont="1" applyFill="1" applyBorder="1" applyAlignment="1" applyProtection="1">
      <alignment horizontal="center" vertical="center" wrapText="1"/>
    </xf>
    <xf numFmtId="9" fontId="11" fillId="9" borderId="1" xfId="23" applyNumberFormat="1" applyFont="1" applyFill="1" applyBorder="1" applyAlignment="1" applyProtection="1">
      <alignment horizontal="center" vertical="center" wrapText="1"/>
    </xf>
    <xf numFmtId="166" fontId="31" fillId="9" borderId="1" xfId="0" applyNumberFormat="1" applyFont="1" applyFill="1" applyBorder="1" applyAlignment="1" applyProtection="1">
      <alignment vertical="center" wrapText="1"/>
      <protection locked="0"/>
    </xf>
    <xf numFmtId="173" fontId="31" fillId="9" borderId="1" xfId="0" applyNumberFormat="1" applyFont="1" applyFill="1" applyBorder="1" applyAlignment="1" applyProtection="1">
      <alignment horizontal="right" vertical="center" wrapText="1"/>
      <protection locked="0"/>
    </xf>
    <xf numFmtId="44" fontId="27" fillId="0" borderId="0" xfId="11" applyFont="1"/>
    <xf numFmtId="166" fontId="12" fillId="0" borderId="1" xfId="24" applyNumberFormat="1" applyFont="1" applyFill="1" applyBorder="1" applyAlignment="1" applyProtection="1">
      <alignment horizontal="right" vertical="center" wrapText="1"/>
      <protection locked="0"/>
    </xf>
    <xf numFmtId="175" fontId="27" fillId="0" borderId="0" xfId="3" applyNumberFormat="1" applyFont="1"/>
    <xf numFmtId="175" fontId="0" fillId="0" borderId="0" xfId="0" applyNumberFormat="1"/>
    <xf numFmtId="175" fontId="27" fillId="10" borderId="0" xfId="3" applyNumberFormat="1" applyFont="1" applyFill="1"/>
    <xf numFmtId="174" fontId="0" fillId="0" borderId="0" xfId="0" applyNumberFormat="1"/>
    <xf numFmtId="0" fontId="25" fillId="0" borderId="0" xfId="23" applyFont="1" applyFill="1" applyBorder="1" applyProtection="1">
      <protection locked="0"/>
    </xf>
    <xf numFmtId="0" fontId="33" fillId="9" borderId="0" xfId="0" applyFont="1" applyFill="1"/>
    <xf numFmtId="44" fontId="33" fillId="0" borderId="0" xfId="0" applyNumberFormat="1" applyFont="1"/>
    <xf numFmtId="43" fontId="28" fillId="0" borderId="1" xfId="0" applyNumberFormat="1" applyFont="1" applyBorder="1"/>
    <xf numFmtId="9" fontId="0" fillId="0" borderId="1" xfId="0" applyNumberFormat="1" applyBorder="1" applyAlignment="1">
      <alignment horizontal="center"/>
    </xf>
    <xf numFmtId="44" fontId="28" fillId="0" borderId="1" xfId="11" applyFont="1" applyBorder="1"/>
    <xf numFmtId="0" fontId="28" fillId="0" borderId="1" xfId="0" applyFont="1" applyBorder="1"/>
    <xf numFmtId="0" fontId="0" fillId="0" borderId="1" xfId="0" applyBorder="1"/>
    <xf numFmtId="164" fontId="19" fillId="4" borderId="1" xfId="23" applyNumberFormat="1"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3" fontId="32" fillId="0" borderId="0" xfId="0" applyNumberFormat="1" applyFont="1"/>
    <xf numFmtId="0" fontId="32" fillId="0" borderId="0" xfId="0" applyFont="1" applyAlignment="1">
      <alignment wrapText="1"/>
    </xf>
    <xf numFmtId="1" fontId="12" fillId="9" borderId="1" xfId="23" applyNumberFormat="1" applyFont="1" applyFill="1" applyBorder="1" applyAlignment="1" applyProtection="1">
      <alignment horizontal="center" vertical="center" wrapText="1"/>
    </xf>
    <xf numFmtId="172" fontId="12" fillId="9" borderId="1" xfId="3" applyNumberFormat="1" applyFont="1" applyFill="1" applyBorder="1"/>
    <xf numFmtId="0" fontId="0" fillId="9" borderId="0" xfId="0" applyFill="1"/>
    <xf numFmtId="165" fontId="12" fillId="0" borderId="5" xfId="0" applyNumberFormat="1" applyFont="1" applyFill="1" applyBorder="1" applyAlignment="1" applyProtection="1">
      <alignment horizontal="justify" vertical="center" wrapText="1"/>
    </xf>
    <xf numFmtId="0" fontId="11" fillId="0" borderId="16" xfId="0" applyFont="1" applyFill="1" applyBorder="1" applyAlignment="1" applyProtection="1">
      <alignment horizontal="center" vertical="center" wrapText="1"/>
    </xf>
    <xf numFmtId="165" fontId="12" fillId="0" borderId="0" xfId="0" applyNumberFormat="1" applyFont="1" applyFill="1" applyBorder="1" applyAlignment="1" applyProtection="1">
      <alignment vertical="center" wrapText="1"/>
    </xf>
    <xf numFmtId="0" fontId="0" fillId="0" borderId="0" xfId="0" applyBorder="1"/>
    <xf numFmtId="165" fontId="12" fillId="9" borderId="1" xfId="0" applyNumberFormat="1" applyFont="1" applyFill="1" applyBorder="1" applyAlignment="1" applyProtection="1">
      <alignment horizontal="left" vertical="center" wrapText="1"/>
    </xf>
    <xf numFmtId="165" fontId="12" fillId="10" borderId="1" xfId="0" applyNumberFormat="1" applyFont="1" applyFill="1" applyBorder="1" applyAlignment="1" applyProtection="1">
      <alignment horizontal="left" vertical="center" wrapText="1"/>
    </xf>
    <xf numFmtId="1" fontId="11" fillId="10" borderId="1" xfId="33" applyNumberFormat="1" applyFont="1" applyFill="1" applyBorder="1" applyAlignment="1" applyProtection="1">
      <alignment horizontal="center" vertical="center" wrapText="1"/>
    </xf>
    <xf numFmtId="165" fontId="20" fillId="10" borderId="1" xfId="0" applyNumberFormat="1" applyFont="1" applyFill="1" applyBorder="1" applyAlignment="1" applyProtection="1">
      <alignment horizontal="justify" vertical="center" wrapText="1"/>
    </xf>
    <xf numFmtId="0" fontId="12" fillId="10" borderId="1" xfId="0" applyNumberFormat="1" applyFont="1" applyFill="1" applyBorder="1" applyAlignment="1" applyProtection="1">
      <alignment horizontal="justify" vertical="center" wrapText="1"/>
    </xf>
    <xf numFmtId="0" fontId="12" fillId="10" borderId="1" xfId="23" applyFont="1" applyFill="1" applyBorder="1" applyAlignment="1" applyProtection="1">
      <alignment horizontal="center" vertical="center" wrapText="1"/>
    </xf>
    <xf numFmtId="0" fontId="12" fillId="9" borderId="1" xfId="23" applyFont="1" applyFill="1" applyBorder="1" applyAlignment="1" applyProtection="1">
      <alignment horizontal="center" vertical="center" wrapText="1"/>
    </xf>
    <xf numFmtId="165" fontId="12" fillId="10" borderId="1" xfId="0" applyNumberFormat="1" applyFont="1" applyFill="1" applyBorder="1" applyAlignment="1" applyProtection="1">
      <alignment horizontal="justify" vertical="center" wrapText="1"/>
    </xf>
    <xf numFmtId="9" fontId="12" fillId="10" borderId="1" xfId="23" applyNumberFormat="1" applyFont="1" applyFill="1" applyBorder="1" applyAlignment="1" applyProtection="1">
      <alignment horizontal="center" vertical="center" wrapText="1"/>
    </xf>
    <xf numFmtId="165" fontId="12" fillId="10" borderId="1" xfId="0" applyNumberFormat="1" applyFont="1" applyFill="1" applyBorder="1" applyAlignment="1" applyProtection="1">
      <alignment vertical="center" wrapText="1"/>
    </xf>
    <xf numFmtId="9" fontId="12" fillId="10" borderId="1" xfId="0" applyNumberFormat="1" applyFont="1" applyFill="1" applyBorder="1" applyAlignment="1" applyProtection="1">
      <alignment horizontal="center" vertical="center" wrapText="1"/>
    </xf>
    <xf numFmtId="165" fontId="12" fillId="10" borderId="1" xfId="0" applyNumberFormat="1" applyFont="1" applyFill="1" applyBorder="1" applyAlignment="1" applyProtection="1">
      <alignment horizontal="left" wrapText="1"/>
    </xf>
    <xf numFmtId="0" fontId="32" fillId="10" borderId="1" xfId="0" applyNumberFormat="1" applyFont="1" applyFill="1" applyBorder="1" applyAlignment="1" applyProtection="1">
      <alignment horizontal="justify" vertical="center" wrapText="1"/>
    </xf>
    <xf numFmtId="0" fontId="32" fillId="10" borderId="1" xfId="0" applyFont="1" applyFill="1" applyBorder="1" applyAlignment="1" applyProtection="1">
      <alignment horizontal="justify" vertical="center" wrapText="1"/>
    </xf>
    <xf numFmtId="0" fontId="12" fillId="10" borderId="1" xfId="0" applyFont="1" applyFill="1" applyBorder="1" applyAlignment="1" applyProtection="1">
      <alignment horizontal="justify" vertical="center" wrapText="1"/>
    </xf>
    <xf numFmtId="166" fontId="12" fillId="0" borderId="1" xfId="0" applyNumberFormat="1" applyFont="1" applyFill="1" applyBorder="1" applyAlignment="1" applyProtection="1">
      <alignment horizontal="right" vertical="center" wrapText="1"/>
      <protection locked="0"/>
    </xf>
    <xf numFmtId="9" fontId="11" fillId="0" borderId="1" xfId="23" applyNumberFormat="1"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23" applyFont="1" applyFill="1" applyBorder="1" applyAlignment="1" applyProtection="1">
      <alignment horizontal="center" vertical="center" wrapText="1"/>
    </xf>
    <xf numFmtId="166" fontId="31"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4" fontId="11" fillId="4" borderId="1" xfId="23" applyNumberFormat="1" applyFont="1" applyFill="1" applyBorder="1" applyAlignment="1" applyProtection="1">
      <alignment horizontal="center" vertical="center" wrapText="1"/>
      <protection locked="0"/>
    </xf>
    <xf numFmtId="0" fontId="11" fillId="4" borderId="1" xfId="23" applyFont="1" applyFill="1" applyBorder="1" applyAlignment="1" applyProtection="1">
      <alignment horizontal="center" vertical="center"/>
      <protection locked="0"/>
    </xf>
    <xf numFmtId="0" fontId="12" fillId="0" borderId="1" xfId="0" applyNumberFormat="1" applyFont="1" applyFill="1" applyBorder="1" applyAlignment="1" applyProtection="1">
      <alignment horizontal="left"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0" fontId="40" fillId="0" borderId="1" xfId="0" applyFont="1" applyBorder="1" applyAlignment="1">
      <alignment horizontal="center"/>
    </xf>
    <xf numFmtId="9" fontId="32" fillId="0" borderId="1" xfId="0" applyNumberFormat="1" applyFont="1" applyFill="1" applyBorder="1" applyAlignment="1">
      <alignment horizontal="center" vertical="center"/>
    </xf>
    <xf numFmtId="0" fontId="12" fillId="0" borderId="1" xfId="23" applyFont="1" applyFill="1" applyBorder="1" applyAlignment="1" applyProtection="1">
      <alignment horizontal="center" vertical="center" wrapText="1"/>
    </xf>
    <xf numFmtId="0" fontId="32" fillId="0" borderId="1" xfId="0" applyFont="1" applyFill="1" applyBorder="1" applyAlignment="1">
      <alignment horizontal="center" vertical="center"/>
    </xf>
    <xf numFmtId="0" fontId="11" fillId="11" borderId="1" xfId="0" applyFont="1" applyFill="1" applyBorder="1" applyAlignment="1" applyProtection="1">
      <alignment horizontal="center" vertical="center" wrapText="1"/>
    </xf>
    <xf numFmtId="0" fontId="0" fillId="10" borderId="0" xfId="0" applyFill="1"/>
    <xf numFmtId="0" fontId="11" fillId="10" borderId="1" xfId="0" applyFont="1" applyFill="1" applyBorder="1" applyAlignment="1" applyProtection="1">
      <alignment horizontal="center"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0" fontId="11" fillId="0" borderId="1" xfId="0" applyNumberFormat="1" applyFont="1" applyFill="1" applyBorder="1" applyAlignment="1" applyProtection="1">
      <alignment horizontal="justify"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173" fontId="12"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173" fontId="31" fillId="9" borderId="1" xfId="0" applyNumberFormat="1" applyFont="1" applyFill="1" applyBorder="1" applyAlignment="1" applyProtection="1">
      <alignment horizontal="right" vertical="center" wrapText="1"/>
      <protection locked="0"/>
    </xf>
    <xf numFmtId="166" fontId="11" fillId="0" borderId="1" xfId="0" applyNumberFormat="1" applyFont="1" applyFill="1" applyBorder="1" applyAlignment="1" applyProtection="1">
      <alignment horizontal="right" vertical="center" wrapText="1"/>
      <protection locked="0"/>
    </xf>
    <xf numFmtId="173" fontId="31" fillId="0" borderId="1" xfId="0" applyNumberFormat="1" applyFont="1" applyFill="1" applyBorder="1" applyAlignment="1" applyProtection="1">
      <alignment horizontal="right" vertical="center" wrapText="1"/>
      <protection locked="0"/>
    </xf>
    <xf numFmtId="0" fontId="12" fillId="0" borderId="1" xfId="0" applyFont="1" applyFill="1" applyBorder="1" applyAlignment="1" applyProtection="1">
      <alignment horizontal="left" vertical="center" wrapText="1"/>
    </xf>
    <xf numFmtId="0" fontId="30" fillId="0" borderId="0" xfId="23" applyFont="1" applyFill="1" applyAlignment="1" applyProtection="1">
      <alignment horizontal="right" vertical="center"/>
      <protection locked="0"/>
    </xf>
    <xf numFmtId="0" fontId="12" fillId="0" borderId="1" xfId="0"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164" fontId="11" fillId="10" borderId="1" xfId="23" applyNumberFormat="1" applyFont="1" applyFill="1" applyBorder="1" applyAlignment="1" applyProtection="1">
      <alignment horizontal="center" vertical="center" wrapText="1"/>
      <protection locked="0"/>
    </xf>
    <xf numFmtId="0" fontId="47" fillId="0" borderId="0" xfId="0" applyFont="1" applyBorder="1" applyAlignment="1"/>
    <xf numFmtId="0" fontId="46" fillId="0" borderId="1" xfId="0" applyFont="1" applyBorder="1" applyAlignment="1">
      <alignment horizontal="center" vertical="center"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166" fontId="31" fillId="0" borderId="1" xfId="0" applyNumberFormat="1"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horizontal="justify"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0" fontId="10" fillId="0" borderId="1" xfId="23" applyFont="1" applyFill="1" applyBorder="1" applyAlignment="1" applyProtection="1">
      <alignment horizontal="left" vertical="center"/>
      <protection locked="0"/>
    </xf>
    <xf numFmtId="1" fontId="12" fillId="0" borderId="1" xfId="23" applyNumberFormat="1" applyFont="1" applyFill="1" applyBorder="1" applyAlignment="1" applyProtection="1">
      <alignment horizontal="center" vertical="center" wrapText="1"/>
    </xf>
    <xf numFmtId="166" fontId="11" fillId="0" borderId="1" xfId="0" applyNumberFormat="1" applyFont="1" applyFill="1" applyBorder="1" applyAlignment="1" applyProtection="1">
      <alignment horizontal="right" vertical="center" wrapText="1"/>
      <protection locked="0"/>
    </xf>
    <xf numFmtId="0" fontId="19" fillId="0" borderId="1" xfId="23" applyFont="1" applyFill="1" applyBorder="1" applyAlignment="1" applyProtection="1">
      <alignment horizontal="left" vertical="center"/>
      <protection locked="0"/>
    </xf>
    <xf numFmtId="165" fontId="12" fillId="9"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justify" vertical="center" wrapText="1"/>
    </xf>
    <xf numFmtId="166" fontId="12" fillId="0" borderId="1" xfId="23" applyNumberFormat="1" applyFont="1" applyFill="1" applyBorder="1" applyAlignment="1" applyProtection="1">
      <alignment horizontal="right" vertical="center" wrapText="1"/>
      <protection locked="0"/>
    </xf>
    <xf numFmtId="1" fontId="11" fillId="0" borderId="1" xfId="0" applyNumberFormat="1" applyFont="1" applyFill="1" applyBorder="1" applyAlignment="1" applyProtection="1">
      <alignment horizontal="center" vertical="center" wrapText="1"/>
    </xf>
    <xf numFmtId="1" fontId="11" fillId="0" borderId="1" xfId="33" applyNumberFormat="1" applyFont="1" applyFill="1" applyBorder="1" applyAlignment="1" applyProtection="1">
      <alignment horizontal="center" vertical="center" wrapText="1"/>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xf numFmtId="0" fontId="46" fillId="0" borderId="1" xfId="0" applyFont="1" applyBorder="1" applyAlignment="1">
      <alignment horizontal="center" vertical="center"/>
    </xf>
    <xf numFmtId="164" fontId="15" fillId="4" borderId="1" xfId="23" applyNumberFormat="1" applyFont="1" applyFill="1" applyBorder="1" applyAlignment="1" applyProtection="1">
      <alignment horizontal="center" vertical="center" wrapText="1"/>
      <protection locked="0"/>
    </xf>
    <xf numFmtId="0" fontId="20" fillId="14" borderId="1" xfId="23" applyFont="1" applyFill="1" applyBorder="1" applyAlignment="1" applyProtection="1">
      <alignment horizontal="center" vertical="center" wrapText="1"/>
    </xf>
    <xf numFmtId="0" fontId="49" fillId="14" borderId="0" xfId="23" applyFont="1" applyFill="1" applyBorder="1" applyProtection="1">
      <protection locked="0"/>
    </xf>
    <xf numFmtId="9" fontId="12" fillId="14" borderId="1" xfId="0" applyNumberFormat="1" applyFont="1" applyFill="1" applyBorder="1" applyAlignment="1" applyProtection="1">
      <alignment horizontal="center" vertical="center" wrapText="1"/>
    </xf>
    <xf numFmtId="0" fontId="39" fillId="14" borderId="0" xfId="0" applyFont="1" applyFill="1"/>
    <xf numFmtId="1" fontId="12" fillId="14" borderId="1" xfId="23" applyNumberFormat="1" applyFont="1" applyFill="1" applyBorder="1" applyAlignment="1" applyProtection="1">
      <alignment horizontal="center" vertical="center" wrapText="1"/>
    </xf>
    <xf numFmtId="0" fontId="12" fillId="14" borderId="1" xfId="23" applyFont="1" applyFill="1" applyBorder="1" applyAlignment="1" applyProtection="1">
      <alignment horizontal="center" vertical="center" wrapText="1"/>
    </xf>
    <xf numFmtId="0" fontId="12" fillId="14" borderId="1" xfId="23" applyFont="1" applyFill="1" applyBorder="1" applyAlignment="1" applyProtection="1">
      <alignment horizontal="center" vertical="center" wrapText="1"/>
      <protection locked="0"/>
    </xf>
    <xf numFmtId="0" fontId="0" fillId="14" borderId="0" xfId="0" applyFill="1"/>
    <xf numFmtId="1" fontId="12" fillId="14" borderId="1" xfId="23" applyNumberFormat="1" applyFont="1" applyFill="1" applyBorder="1" applyAlignment="1" applyProtection="1">
      <alignment horizontal="center" vertical="center" wrapText="1"/>
    </xf>
    <xf numFmtId="0" fontId="12" fillId="12" borderId="1" xfId="0" applyFont="1" applyFill="1" applyBorder="1" applyAlignment="1" applyProtection="1">
      <alignment horizontal="center" vertical="center" wrapText="1"/>
    </xf>
    <xf numFmtId="0" fontId="33" fillId="12" borderId="0" xfId="0" applyFont="1" applyFill="1"/>
    <xf numFmtId="0" fontId="12" fillId="12" borderId="1" xfId="0" applyFont="1" applyFill="1" applyBorder="1" applyAlignment="1" applyProtection="1">
      <alignment horizontal="justify" vertical="center" wrapText="1"/>
    </xf>
    <xf numFmtId="1" fontId="12" fillId="12" borderId="1" xfId="23" applyNumberFormat="1"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1" fillId="15" borderId="1" xfId="0" applyFont="1" applyFill="1" applyBorder="1" applyAlignment="1" applyProtection="1">
      <alignment horizontal="center" vertical="center" wrapText="1"/>
    </xf>
    <xf numFmtId="0" fontId="19" fillId="15" borderId="1" xfId="0" applyFont="1" applyFill="1" applyBorder="1" applyAlignment="1" applyProtection="1">
      <alignment horizontal="center" vertical="center" wrapText="1"/>
    </xf>
    <xf numFmtId="0" fontId="39" fillId="12" borderId="0" xfId="0" applyFont="1" applyFill="1"/>
    <xf numFmtId="0" fontId="39" fillId="15" borderId="0" xfId="0" applyFont="1" applyFill="1"/>
    <xf numFmtId="0" fontId="0" fillId="12" borderId="0" xfId="0" applyFill="1"/>
    <xf numFmtId="0" fontId="39" fillId="10" borderId="0" xfId="0" applyFont="1" applyFill="1"/>
    <xf numFmtId="165" fontId="12" fillId="12" borderId="1" xfId="0" applyNumberFormat="1" applyFont="1" applyFill="1" applyBorder="1" applyAlignment="1" applyProtection="1">
      <alignment horizontal="justify" vertical="center" wrapText="1"/>
    </xf>
    <xf numFmtId="0" fontId="39" fillId="0" borderId="0" xfId="0" applyFont="1" applyAlignment="1">
      <alignment wrapText="1"/>
    </xf>
    <xf numFmtId="0" fontId="0" fillId="0" borderId="0" xfId="0" applyAlignment="1">
      <alignment wrapText="1"/>
    </xf>
    <xf numFmtId="44" fontId="0" fillId="0" borderId="0" xfId="11" applyFont="1"/>
    <xf numFmtId="44" fontId="39" fillId="0" borderId="0" xfId="11" applyFont="1"/>
    <xf numFmtId="0" fontId="39" fillId="0" borderId="0" xfId="0" applyFont="1" applyAlignment="1">
      <alignment vertical="center"/>
    </xf>
    <xf numFmtId="166" fontId="0" fillId="0" borderId="0" xfId="0" applyNumberFormat="1" applyAlignment="1">
      <alignment wrapText="1"/>
    </xf>
    <xf numFmtId="44" fontId="42" fillId="0" borderId="0" xfId="11" applyFont="1" applyAlignment="1">
      <alignment wrapText="1"/>
    </xf>
    <xf numFmtId="176" fontId="28" fillId="0" borderId="0" xfId="11" applyNumberFormat="1" applyFont="1"/>
    <xf numFmtId="176" fontId="0" fillId="0" borderId="0" xfId="0" applyNumberFormat="1"/>
    <xf numFmtId="176" fontId="48" fillId="0" borderId="0" xfId="0" applyNumberFormat="1" applyFont="1"/>
    <xf numFmtId="172" fontId="12" fillId="14" borderId="1" xfId="3" applyNumberFormat="1" applyFont="1" applyFill="1" applyBorder="1"/>
    <xf numFmtId="172" fontId="12" fillId="13" borderId="1" xfId="3" applyNumberFormat="1" applyFont="1" applyFill="1" applyBorder="1"/>
    <xf numFmtId="176" fontId="0" fillId="13" borderId="0" xfId="11" applyNumberFormat="1" applyFont="1" applyFill="1"/>
    <xf numFmtId="176" fontId="0" fillId="14" borderId="0" xfId="11" applyNumberFormat="1" applyFont="1" applyFill="1"/>
    <xf numFmtId="172" fontId="12" fillId="16" borderId="1" xfId="3" applyNumberFormat="1" applyFont="1" applyFill="1" applyBorder="1"/>
    <xf numFmtId="176" fontId="0" fillId="16" borderId="0" xfId="11" applyNumberFormat="1" applyFont="1" applyFill="1"/>
    <xf numFmtId="176" fontId="0" fillId="16" borderId="0" xfId="0" applyNumberFormat="1" applyFill="1"/>
    <xf numFmtId="176" fontId="48" fillId="0" borderId="0" xfId="11" applyNumberFormat="1" applyFont="1"/>
    <xf numFmtId="0" fontId="11"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0" fontId="46" fillId="0" borderId="1" xfId="0" applyFont="1" applyBorder="1" applyAlignment="1">
      <alignment horizontal="center" vertical="center"/>
    </xf>
    <xf numFmtId="0" fontId="12" fillId="0" borderId="1" xfId="0" applyFont="1" applyFill="1" applyBorder="1" applyAlignment="1" applyProtection="1">
      <alignment horizontal="justify" vertical="center" wrapText="1"/>
    </xf>
    <xf numFmtId="0" fontId="1" fillId="17" borderId="1" xfId="23" applyFont="1" applyFill="1" applyBorder="1" applyAlignment="1" applyProtection="1">
      <alignment vertical="center" wrapText="1"/>
      <protection locked="0"/>
    </xf>
    <xf numFmtId="164" fontId="10" fillId="4" borderId="1" xfId="23" applyNumberFormat="1" applyFont="1" applyFill="1" applyBorder="1" applyAlignment="1" applyProtection="1">
      <alignment horizontal="center" vertical="center" wrapText="1"/>
      <protection locked="0"/>
    </xf>
    <xf numFmtId="0" fontId="15" fillId="0" borderId="1" xfId="23" applyFont="1" applyFill="1" applyBorder="1" applyAlignment="1" applyProtection="1">
      <alignment horizontal="center" vertical="center"/>
      <protection locked="0"/>
    </xf>
    <xf numFmtId="1" fontId="12" fillId="10" borderId="1" xfId="23" applyNumberFormat="1" applyFont="1" applyFill="1" applyBorder="1" applyAlignment="1" applyProtection="1">
      <alignment horizontal="center" vertical="center" wrapText="1"/>
    </xf>
    <xf numFmtId="0" fontId="11" fillId="10" borderId="1" xfId="23" applyFont="1" applyFill="1" applyBorder="1" applyAlignment="1" applyProtection="1">
      <alignment horizontal="center" vertical="center" wrapText="1"/>
      <protection locked="0"/>
    </xf>
    <xf numFmtId="0" fontId="51" fillId="0" borderId="1" xfId="0" applyFont="1" applyFill="1" applyBorder="1" applyAlignment="1" applyProtection="1">
      <alignment horizontal="center" vertical="center" wrapText="1"/>
    </xf>
    <xf numFmtId="0" fontId="3" fillId="10" borderId="0" xfId="23" applyFont="1" applyFill="1" applyAlignment="1" applyProtection="1">
      <alignment horizontal="left" vertical="center"/>
      <protection locked="0"/>
    </xf>
    <xf numFmtId="168" fontId="15" fillId="10" borderId="1" xfId="23" applyNumberFormat="1" applyFont="1" applyFill="1" applyBorder="1" applyAlignment="1">
      <alignment horizontal="right" vertical="center" wrapText="1"/>
    </xf>
    <xf numFmtId="1" fontId="11" fillId="0" borderId="1" xfId="33" applyNumberFormat="1" applyFont="1" applyFill="1" applyBorder="1" applyAlignment="1" applyProtection="1">
      <alignment vertical="center" wrapText="1"/>
    </xf>
    <xf numFmtId="0" fontId="11" fillId="0" borderId="1" xfId="0" applyFont="1" applyFill="1" applyBorder="1" applyAlignment="1" applyProtection="1">
      <alignment vertical="center" wrapText="1"/>
    </xf>
    <xf numFmtId="166" fontId="11" fillId="0" borderId="1" xfId="0" applyNumberFormat="1" applyFont="1" applyFill="1" applyBorder="1" applyAlignment="1" applyProtection="1">
      <alignment vertical="center" wrapText="1"/>
      <protection locked="0"/>
    </xf>
    <xf numFmtId="166" fontId="12" fillId="0" borderId="1" xfId="23" applyNumberFormat="1" applyFont="1" applyFill="1" applyBorder="1" applyAlignment="1" applyProtection="1">
      <alignment vertical="center" wrapText="1"/>
      <protection locked="0"/>
    </xf>
    <xf numFmtId="3" fontId="12" fillId="10" borderId="15" xfId="0" applyNumberFormat="1" applyFont="1" applyFill="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165" fontId="53" fillId="0" borderId="1" xfId="0" applyNumberFormat="1" applyFont="1" applyFill="1" applyBorder="1" applyAlignment="1" applyProtection="1">
      <alignment horizontal="justify" vertical="center" wrapText="1"/>
    </xf>
    <xf numFmtId="166" fontId="40" fillId="0" borderId="1" xfId="0" applyNumberFormat="1" applyFont="1" applyFill="1" applyBorder="1" applyAlignment="1" applyProtection="1">
      <alignment horizontal="right" vertical="center" wrapText="1"/>
      <protection locked="0"/>
    </xf>
    <xf numFmtId="166" fontId="39" fillId="0" borderId="1" xfId="23" applyNumberFormat="1" applyFont="1" applyFill="1" applyBorder="1" applyAlignment="1" applyProtection="1">
      <alignment horizontal="right" vertical="center" wrapText="1"/>
      <protection locked="0"/>
    </xf>
    <xf numFmtId="166" fontId="9" fillId="0" borderId="1" xfId="23" applyNumberFormat="1" applyFont="1" applyFill="1" applyBorder="1" applyAlignment="1" applyProtection="1">
      <alignment horizontal="right" vertical="center" wrapText="1"/>
      <protection locked="0"/>
    </xf>
    <xf numFmtId="166" fontId="9" fillId="0" borderId="1" xfId="0" applyNumberFormat="1" applyFont="1" applyFill="1" applyBorder="1" applyAlignment="1" applyProtection="1">
      <alignment horizontal="right" vertical="center" wrapText="1"/>
      <protection locked="0"/>
    </xf>
    <xf numFmtId="164" fontId="11" fillId="4" borderId="7" xfId="23"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horizontal="center" vertical="center" wrapText="1"/>
    </xf>
    <xf numFmtId="0" fontId="54" fillId="17" borderId="1" xfId="0" applyFont="1" applyFill="1" applyBorder="1" applyAlignment="1">
      <alignment vertical="center" wrapText="1"/>
    </xf>
    <xf numFmtId="176" fontId="39" fillId="0" borderId="0" xfId="11" applyNumberFormat="1" applyFont="1"/>
    <xf numFmtId="176" fontId="39" fillId="0" borderId="0" xfId="0" applyNumberFormat="1" applyFont="1"/>
    <xf numFmtId="0" fontId="54" fillId="17" borderId="1" xfId="0" applyFont="1" applyFill="1" applyBorder="1" applyAlignment="1">
      <alignment horizontal="left" vertical="center" wrapText="1"/>
    </xf>
    <xf numFmtId="0" fontId="55" fillId="0" borderId="0" xfId="0" applyFont="1" applyAlignment="1">
      <alignment horizontal="left" vertical="center" wrapText="1"/>
    </xf>
    <xf numFmtId="0" fontId="55" fillId="0" borderId="0" xfId="0" applyFont="1" applyAlignment="1">
      <alignment vertical="center" wrapText="1"/>
    </xf>
    <xf numFmtId="0" fontId="54" fillId="17" borderId="1" xfId="0" applyFont="1" applyFill="1" applyBorder="1" applyAlignment="1">
      <alignment horizontal="left" vertical="center" wrapText="1"/>
    </xf>
    <xf numFmtId="0" fontId="54" fillId="17" borderId="1" xfId="0" applyFont="1" applyFill="1" applyBorder="1" applyAlignment="1">
      <alignment horizontal="left" vertical="center" wrapText="1"/>
    </xf>
    <xf numFmtId="0" fontId="55" fillId="0" borderId="0" xfId="0" applyFont="1" applyAlignment="1">
      <alignment wrapText="1"/>
    </xf>
    <xf numFmtId="0" fontId="54" fillId="17" borderId="1" xfId="0" applyFont="1" applyFill="1" applyBorder="1" applyAlignment="1">
      <alignment horizontal="left" vertical="center" wrapText="1"/>
    </xf>
    <xf numFmtId="0" fontId="54" fillId="0" borderId="0" xfId="0" applyFont="1" applyAlignment="1">
      <alignment wrapText="1"/>
    </xf>
    <xf numFmtId="1" fontId="0" fillId="0" borderId="0" xfId="29" applyNumberFormat="1" applyFont="1"/>
    <xf numFmtId="0" fontId="11" fillId="10" borderId="1" xfId="0" applyFont="1" applyFill="1" applyBorder="1" applyAlignment="1">
      <alignment horizontal="justify" vertical="center" wrapText="1"/>
    </xf>
    <xf numFmtId="0" fontId="33" fillId="0" borderId="0" xfId="0" applyFont="1" applyAlignment="1">
      <alignment horizontal="center" vertical="center"/>
    </xf>
    <xf numFmtId="0" fontId="54" fillId="0" borderId="0" xfId="0" applyFont="1" applyAlignment="1">
      <alignment horizontal="center" vertical="center" wrapText="1"/>
    </xf>
    <xf numFmtId="0" fontId="39" fillId="18" borderId="0" xfId="0" applyFont="1" applyFill="1" applyAlignment="1">
      <alignment horizontal="center" vertical="center" wrapText="1"/>
    </xf>
    <xf numFmtId="0" fontId="39" fillId="0" borderId="0" xfId="11" applyNumberFormat="1" applyFont="1"/>
    <xf numFmtId="0" fontId="39" fillId="0" borderId="0" xfId="0" applyNumberFormat="1" applyFont="1"/>
    <xf numFmtId="0" fontId="0" fillId="4" borderId="0" xfId="0" applyFill="1" applyAlignment="1">
      <alignment horizontal="center" vertical="center" wrapText="1"/>
    </xf>
    <xf numFmtId="0" fontId="54" fillId="4" borderId="19" xfId="0" applyFont="1" applyFill="1" applyBorder="1" applyAlignment="1">
      <alignment horizontal="left" vertical="center" wrapText="1"/>
    </xf>
    <xf numFmtId="0" fontId="54" fillId="17" borderId="1" xfId="0" applyFont="1" applyFill="1" applyBorder="1" applyAlignment="1">
      <alignment horizontal="left" vertical="center"/>
    </xf>
    <xf numFmtId="0" fontId="54" fillId="4" borderId="0" xfId="0" applyFont="1" applyFill="1" applyAlignment="1">
      <alignment horizontal="left" vertical="center" wrapText="1"/>
    </xf>
    <xf numFmtId="0" fontId="11" fillId="0" borderId="1" xfId="0" applyFont="1" applyFill="1" applyBorder="1" applyAlignment="1" applyProtection="1">
      <alignment horizontal="center" vertical="center" wrapText="1"/>
    </xf>
    <xf numFmtId="0" fontId="54" fillId="0" borderId="0" xfId="0" applyFont="1" applyAlignment="1">
      <alignment horizontal="left" vertical="center" wrapText="1"/>
    </xf>
    <xf numFmtId="0" fontId="54" fillId="17" borderId="3" xfId="0" applyFont="1" applyFill="1" applyBorder="1" applyAlignment="1">
      <alignment vertical="center" wrapText="1"/>
    </xf>
    <xf numFmtId="166" fontId="54" fillId="17" borderId="1" xfId="0" applyNumberFormat="1" applyFont="1" applyFill="1" applyBorder="1" applyAlignment="1">
      <alignment horizontal="left" vertical="center" wrapText="1"/>
    </xf>
    <xf numFmtId="177" fontId="0" fillId="0" borderId="0" xfId="0" applyNumberFormat="1"/>
    <xf numFmtId="0" fontId="54" fillId="0" borderId="0" xfId="0" applyFont="1" applyAlignment="1">
      <alignment vertical="center"/>
    </xf>
    <xf numFmtId="0" fontId="19" fillId="0" borderId="1" xfId="0" applyFont="1" applyFill="1" applyBorder="1" applyAlignment="1" applyProtection="1">
      <alignment horizontal="center" vertical="center" wrapText="1"/>
    </xf>
    <xf numFmtId="166" fontId="20" fillId="0" borderId="1" xfId="0" applyNumberFormat="1" applyFont="1" applyFill="1" applyBorder="1" applyAlignment="1" applyProtection="1">
      <alignment horizontal="right" vertical="center" wrapText="1"/>
      <protection locked="0"/>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 fillId="4" borderId="0" xfId="0" applyFont="1" applyFill="1" applyBorder="1" applyAlignment="1" applyProtection="1">
      <alignment horizontal="left" vertical="center" wrapText="1"/>
      <protection locked="0"/>
    </xf>
    <xf numFmtId="0" fontId="1" fillId="0" borderId="0" xfId="23" applyFont="1" applyFill="1" applyBorder="1" applyAlignment="1" applyProtection="1">
      <alignment horizontal="left" vertical="center" wrapText="1"/>
      <protection locked="0"/>
    </xf>
    <xf numFmtId="0" fontId="1" fillId="0" borderId="0" xfId="23" applyFont="1" applyFill="1" applyBorder="1" applyAlignment="1" applyProtection="1">
      <alignment horizontal="center" vertical="center" wrapText="1"/>
      <protection locked="0"/>
    </xf>
    <xf numFmtId="0" fontId="1" fillId="17" borderId="1" xfId="0" applyFont="1" applyFill="1" applyBorder="1" applyAlignment="1" applyProtection="1">
      <alignment horizontal="left" vertical="center" wrapText="1"/>
      <protection locked="0"/>
    </xf>
    <xf numFmtId="0" fontId="21" fillId="4" borderId="1" xfId="23" applyFont="1" applyFill="1" applyBorder="1" applyAlignment="1" applyProtection="1">
      <alignment horizontal="center" vertical="center" wrapText="1"/>
      <protection locked="0"/>
    </xf>
    <xf numFmtId="164" fontId="21" fillId="4" borderId="1" xfId="23" applyNumberFormat="1" applyFont="1" applyFill="1" applyBorder="1" applyAlignment="1" applyProtection="1">
      <alignment horizontal="center" vertical="center" wrapText="1"/>
      <protection locked="0"/>
    </xf>
    <xf numFmtId="165" fontId="64" fillId="0" borderId="1" xfId="0" applyNumberFormat="1" applyFont="1" applyFill="1" applyBorder="1" applyAlignment="1" applyProtection="1">
      <alignment horizontal="justify" vertical="center" wrapText="1"/>
    </xf>
    <xf numFmtId="165" fontId="64" fillId="0" borderId="1" xfId="0" applyNumberFormat="1" applyFont="1" applyFill="1" applyBorder="1" applyAlignment="1" applyProtection="1">
      <alignment horizontal="left" vertical="center" wrapText="1"/>
    </xf>
    <xf numFmtId="0" fontId="21" fillId="0" borderId="1" xfId="23" applyFont="1" applyFill="1" applyBorder="1" applyAlignment="1" applyProtection="1">
      <alignment horizontal="center" vertical="center" wrapText="1"/>
    </xf>
    <xf numFmtId="0" fontId="64" fillId="0" borderId="1" xfId="23" applyFont="1" applyFill="1" applyBorder="1" applyAlignment="1" applyProtection="1">
      <alignment horizontal="left" vertical="center" wrapText="1"/>
    </xf>
    <xf numFmtId="166" fontId="65" fillId="0" borderId="1" xfId="0" applyNumberFormat="1" applyFont="1" applyFill="1" applyBorder="1" applyAlignment="1" applyProtection="1">
      <alignment horizontal="right" vertical="center" wrapText="1"/>
      <protection locked="0"/>
    </xf>
    <xf numFmtId="166" fontId="64" fillId="0" borderId="1" xfId="0" applyNumberFormat="1" applyFont="1" applyFill="1" applyBorder="1" applyAlignment="1" applyProtection="1">
      <alignment horizontal="right" vertical="center" wrapText="1"/>
      <protection locked="0"/>
    </xf>
    <xf numFmtId="166" fontId="64" fillId="0" borderId="1" xfId="0" applyNumberFormat="1" applyFont="1" applyFill="1" applyBorder="1" applyAlignment="1" applyProtection="1">
      <alignment horizontal="center" vertical="center" wrapText="1"/>
      <protection locked="0"/>
    </xf>
    <xf numFmtId="0" fontId="21" fillId="0" borderId="1" xfId="23" applyFont="1" applyFill="1" applyBorder="1" applyAlignment="1" applyProtection="1">
      <alignment horizontal="left" vertical="center"/>
      <protection locked="0"/>
    </xf>
    <xf numFmtId="0" fontId="66" fillId="4" borderId="1" xfId="23" applyFont="1" applyFill="1" applyBorder="1" applyAlignment="1" applyProtection="1">
      <alignment horizontal="left" vertical="center"/>
      <protection locked="0"/>
    </xf>
    <xf numFmtId="0" fontId="21" fillId="0" borderId="1" xfId="0" applyNumberFormat="1" applyFont="1" applyFill="1" applyBorder="1" applyAlignment="1" applyProtection="1">
      <alignment horizontal="left" vertical="center" wrapText="1"/>
    </xf>
    <xf numFmtId="0" fontId="64" fillId="0" borderId="1" xfId="0" applyFont="1" applyFill="1" applyBorder="1" applyAlignment="1" applyProtection="1">
      <alignment horizontal="left" vertical="center" wrapText="1"/>
    </xf>
    <xf numFmtId="0" fontId="64" fillId="0" borderId="1" xfId="23" applyFont="1" applyFill="1" applyBorder="1" applyAlignment="1" applyProtection="1">
      <alignment horizontal="center" vertical="center" wrapText="1"/>
    </xf>
    <xf numFmtId="0" fontId="21" fillId="0" borderId="1" xfId="0" applyFont="1" applyFill="1" applyBorder="1" applyAlignment="1" applyProtection="1">
      <alignment horizontal="center" vertical="center" wrapText="1"/>
    </xf>
    <xf numFmtId="165" fontId="64" fillId="0" borderId="1" xfId="0" applyNumberFormat="1" applyFont="1" applyFill="1" applyBorder="1" applyAlignment="1" applyProtection="1">
      <alignment horizontal="center" vertical="center" wrapText="1"/>
    </xf>
    <xf numFmtId="3" fontId="21" fillId="0" borderId="1" xfId="23" applyNumberFormat="1" applyFont="1" applyFill="1" applyBorder="1" applyAlignment="1" applyProtection="1">
      <alignment horizontal="center" vertical="center" wrapText="1"/>
      <protection locked="0"/>
    </xf>
    <xf numFmtId="165" fontId="64" fillId="10" borderId="1" xfId="0" applyNumberFormat="1" applyFont="1" applyFill="1" applyBorder="1" applyAlignment="1" applyProtection="1">
      <alignment horizontal="justify" vertical="center" wrapText="1"/>
    </xf>
    <xf numFmtId="166" fontId="21" fillId="0" borderId="1" xfId="0" applyNumberFormat="1" applyFont="1" applyFill="1" applyBorder="1" applyAlignment="1" applyProtection="1">
      <alignment horizontal="right" vertical="center" wrapText="1"/>
      <protection locked="0"/>
    </xf>
    <xf numFmtId="0" fontId="21" fillId="4" borderId="1" xfId="23" applyFont="1" applyFill="1" applyBorder="1" applyAlignment="1" applyProtection="1">
      <alignment horizontal="center" vertical="center"/>
      <protection locked="0"/>
    </xf>
    <xf numFmtId="0" fontId="21" fillId="0" borderId="1" xfId="0" applyNumberFormat="1" applyFont="1" applyFill="1" applyBorder="1" applyAlignment="1" applyProtection="1">
      <alignment horizontal="justify" vertical="center" wrapText="1"/>
    </xf>
    <xf numFmtId="0" fontId="64" fillId="0" borderId="1" xfId="0" applyFont="1" applyFill="1" applyBorder="1" applyAlignment="1" applyProtection="1">
      <alignment horizontal="justify" vertical="center" wrapText="1"/>
    </xf>
    <xf numFmtId="0" fontId="64" fillId="14" borderId="1" xfId="23" applyFont="1" applyFill="1" applyBorder="1" applyAlignment="1" applyProtection="1">
      <alignment horizontal="center" vertical="center" wrapText="1"/>
    </xf>
    <xf numFmtId="44" fontId="21" fillId="0" borderId="1" xfId="0" applyNumberFormat="1" applyFont="1" applyFill="1" applyBorder="1" applyAlignment="1" applyProtection="1">
      <alignment horizontal="justify" vertical="center" wrapText="1"/>
    </xf>
    <xf numFmtId="44" fontId="64" fillId="0" borderId="1" xfId="11" applyFont="1" applyFill="1" applyBorder="1" applyAlignment="1" applyProtection="1">
      <alignment horizontal="justify" vertical="center" wrapText="1"/>
    </xf>
    <xf numFmtId="166" fontId="64" fillId="0" borderId="1" xfId="0" applyNumberFormat="1" applyFont="1" applyFill="1" applyBorder="1" applyAlignment="1" applyProtection="1">
      <alignment vertical="center" wrapText="1"/>
      <protection locked="0"/>
    </xf>
    <xf numFmtId="166" fontId="21" fillId="0" borderId="1" xfId="0" applyNumberFormat="1" applyFont="1" applyFill="1" applyBorder="1" applyAlignment="1" applyProtection="1">
      <alignment vertical="center" wrapText="1"/>
      <protection locked="0"/>
    </xf>
    <xf numFmtId="165" fontId="64" fillId="14" borderId="1" xfId="0" applyNumberFormat="1" applyFont="1" applyFill="1" applyBorder="1" applyAlignment="1" applyProtection="1">
      <alignment horizontal="justify" vertical="center" wrapText="1"/>
    </xf>
    <xf numFmtId="165" fontId="64" fillId="0" borderId="1" xfId="0" applyNumberFormat="1" applyFont="1" applyFill="1" applyBorder="1" applyAlignment="1" applyProtection="1">
      <alignment vertical="center" wrapText="1"/>
    </xf>
    <xf numFmtId="3" fontId="21" fillId="0" borderId="1" xfId="0" applyNumberFormat="1" applyFont="1" applyFill="1" applyBorder="1" applyAlignment="1" applyProtection="1">
      <alignment horizontal="center" vertical="center" wrapText="1"/>
    </xf>
    <xf numFmtId="3" fontId="64" fillId="0" borderId="1" xfId="0" applyNumberFormat="1" applyFont="1" applyFill="1" applyBorder="1" applyAlignment="1" applyProtection="1">
      <alignment vertical="center" wrapText="1"/>
    </xf>
    <xf numFmtId="168" fontId="4" fillId="4" borderId="1" xfId="23" applyNumberFormat="1" applyFont="1" applyFill="1" applyBorder="1" applyAlignment="1">
      <alignment horizontal="center" vertical="center" wrapText="1"/>
    </xf>
    <xf numFmtId="168" fontId="4" fillId="4" borderId="1" xfId="23" applyNumberFormat="1" applyFont="1" applyFill="1" applyBorder="1" applyAlignment="1">
      <alignment horizontal="right" vertical="center" wrapText="1"/>
    </xf>
    <xf numFmtId="0" fontId="6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left" vertical="center" wrapText="1"/>
      <protection locked="0"/>
    </xf>
    <xf numFmtId="0" fontId="1" fillId="17" borderId="1" xfId="23" applyFont="1" applyFill="1" applyBorder="1" applyAlignment="1" applyProtection="1">
      <alignment horizontal="left" vertical="center" wrapText="1"/>
      <protection locked="0"/>
    </xf>
    <xf numFmtId="0" fontId="1" fillId="0" borderId="0" xfId="23" applyNumberFormat="1" applyFont="1" applyFill="1" applyBorder="1" applyAlignment="1" applyProtection="1">
      <alignment horizontal="left" vertical="center" wrapText="1"/>
      <protection locked="0"/>
    </xf>
    <xf numFmtId="0" fontId="1" fillId="4" borderId="0" xfId="23" applyFont="1" applyFill="1" applyBorder="1" applyAlignment="1" applyProtection="1">
      <alignment horizontal="left" vertical="center" wrapText="1"/>
      <protection locked="0"/>
    </xf>
    <xf numFmtId="164" fontId="68" fillId="4" borderId="7" xfId="23" applyNumberFormat="1" applyFont="1" applyFill="1" applyBorder="1" applyAlignment="1" applyProtection="1">
      <alignment horizontal="center" vertical="center" wrapText="1"/>
      <protection locked="0"/>
    </xf>
    <xf numFmtId="164" fontId="68" fillId="4" borderId="1" xfId="23" applyNumberFormat="1" applyFont="1" applyFill="1" applyBorder="1" applyAlignment="1" applyProtection="1">
      <alignment horizontal="center" vertical="center" wrapText="1"/>
      <protection locked="0"/>
    </xf>
    <xf numFmtId="0" fontId="68" fillId="4" borderId="1" xfId="23" applyFont="1" applyFill="1" applyBorder="1" applyAlignment="1" applyProtection="1">
      <alignment horizontal="center" vertical="center"/>
      <protection locked="0"/>
    </xf>
    <xf numFmtId="0" fontId="68" fillId="4" borderId="1" xfId="23" applyFont="1" applyFill="1" applyBorder="1" applyAlignment="1" applyProtection="1">
      <alignment horizontal="center" vertical="center" wrapText="1"/>
      <protection locked="0"/>
    </xf>
    <xf numFmtId="165" fontId="57" fillId="0" borderId="1" xfId="0" applyNumberFormat="1" applyFont="1" applyFill="1" applyBorder="1" applyAlignment="1" applyProtection="1">
      <alignment horizontal="justify" vertical="center" wrapText="1"/>
    </xf>
    <xf numFmtId="0" fontId="57" fillId="14" borderId="1" xfId="23" applyFont="1" applyFill="1" applyBorder="1" applyAlignment="1" applyProtection="1">
      <alignment horizontal="center" vertical="center" wrapText="1"/>
      <protection locked="0"/>
    </xf>
    <xf numFmtId="0" fontId="57" fillId="0" borderId="1" xfId="23" applyFont="1" applyFill="1" applyBorder="1" applyAlignment="1" applyProtection="1">
      <alignment horizontal="center" vertical="center" wrapText="1"/>
      <protection locked="0"/>
    </xf>
    <xf numFmtId="0" fontId="68" fillId="0" borderId="1" xfId="23" applyFont="1" applyFill="1" applyBorder="1" applyAlignment="1" applyProtection="1">
      <alignment horizontal="center" vertical="center" wrapText="1"/>
      <protection locked="0"/>
    </xf>
    <xf numFmtId="1" fontId="57" fillId="0" borderId="1" xfId="29" applyNumberFormat="1" applyFont="1" applyFill="1" applyBorder="1" applyAlignment="1" applyProtection="1">
      <alignment horizontal="center" vertical="center" wrapText="1"/>
    </xf>
    <xf numFmtId="1" fontId="68" fillId="0" borderId="1" xfId="0" applyNumberFormat="1" applyFont="1" applyFill="1" applyBorder="1" applyAlignment="1" applyProtection="1">
      <alignment horizontal="center" vertical="center" wrapText="1"/>
    </xf>
    <xf numFmtId="165" fontId="57" fillId="0" borderId="1" xfId="0" applyNumberFormat="1" applyFont="1" applyFill="1" applyBorder="1" applyAlignment="1" applyProtection="1">
      <alignment horizontal="left" vertical="center" wrapText="1"/>
    </xf>
    <xf numFmtId="1" fontId="57" fillId="14" borderId="1" xfId="23" applyNumberFormat="1" applyFont="1" applyFill="1" applyBorder="1" applyAlignment="1" applyProtection="1">
      <alignment horizontal="center" vertical="center" wrapText="1"/>
    </xf>
    <xf numFmtId="0" fontId="57" fillId="0" borderId="1" xfId="0" applyFont="1" applyFill="1" applyBorder="1" applyAlignment="1">
      <alignment horizontal="center" vertical="center"/>
    </xf>
    <xf numFmtId="165" fontId="57" fillId="10" borderId="1" xfId="0" applyNumberFormat="1" applyFont="1" applyFill="1" applyBorder="1" applyAlignment="1" applyProtection="1">
      <alignment horizontal="left" wrapText="1"/>
    </xf>
    <xf numFmtId="1" fontId="68" fillId="0" borderId="1" xfId="33" applyNumberFormat="1" applyFont="1" applyFill="1" applyBorder="1" applyAlignment="1" applyProtection="1">
      <alignment horizontal="center" vertical="center" wrapText="1"/>
    </xf>
    <xf numFmtId="1" fontId="57" fillId="0" borderId="1" xfId="23" applyNumberFormat="1" applyFont="1" applyFill="1" applyBorder="1" applyAlignment="1" applyProtection="1">
      <alignment horizontal="center" vertical="center" wrapText="1"/>
    </xf>
    <xf numFmtId="0" fontId="68" fillId="0" borderId="1" xfId="0" applyFont="1" applyFill="1" applyBorder="1" applyAlignment="1" applyProtection="1">
      <alignment horizontal="center" vertical="center" wrapText="1"/>
    </xf>
    <xf numFmtId="1" fontId="68" fillId="9" borderId="1" xfId="33" applyNumberFormat="1" applyFont="1" applyFill="1" applyBorder="1" applyAlignment="1" applyProtection="1">
      <alignment horizontal="center" vertical="center" wrapText="1"/>
    </xf>
    <xf numFmtId="1" fontId="68" fillId="10" borderId="1" xfId="33" applyNumberFormat="1" applyFont="1" applyFill="1" applyBorder="1" applyAlignment="1" applyProtection="1">
      <alignment horizontal="center" vertical="center" wrapText="1"/>
    </xf>
    <xf numFmtId="165" fontId="57" fillId="10" borderId="1" xfId="0" applyNumberFormat="1" applyFont="1" applyFill="1" applyBorder="1" applyAlignment="1" applyProtection="1">
      <alignment vertical="center" wrapText="1"/>
    </xf>
    <xf numFmtId="9" fontId="68" fillId="0" borderId="1" xfId="33" applyFont="1" applyFill="1" applyBorder="1" applyAlignment="1" applyProtection="1">
      <alignment horizontal="center" vertical="center" wrapText="1"/>
    </xf>
    <xf numFmtId="1" fontId="57" fillId="9" borderId="1" xfId="23" applyNumberFormat="1" applyFont="1" applyFill="1" applyBorder="1" applyAlignment="1" applyProtection="1">
      <alignment horizontal="center" vertical="center" wrapText="1"/>
    </xf>
    <xf numFmtId="0" fontId="57" fillId="0" borderId="1" xfId="0" applyNumberFormat="1" applyFont="1" applyFill="1" applyBorder="1" applyAlignment="1" applyProtection="1">
      <alignment horizontal="left" vertical="center" wrapText="1"/>
    </xf>
    <xf numFmtId="165" fontId="57" fillId="0" borderId="1" xfId="0" applyNumberFormat="1" applyFont="1" applyFill="1" applyBorder="1" applyAlignment="1" applyProtection="1">
      <alignment vertical="center" wrapText="1"/>
    </xf>
    <xf numFmtId="0" fontId="57" fillId="0" borderId="1" xfId="0" applyNumberFormat="1" applyFont="1" applyFill="1" applyBorder="1" applyAlignment="1" applyProtection="1">
      <alignment horizontal="justify" vertical="center" wrapText="1"/>
    </xf>
    <xf numFmtId="166" fontId="33" fillId="0" borderId="0" xfId="0" applyNumberFormat="1" applyFont="1"/>
    <xf numFmtId="168" fontId="33" fillId="0" borderId="0" xfId="0" applyNumberFormat="1" applyFont="1"/>
    <xf numFmtId="0" fontId="33" fillId="14" borderId="0" xfId="0" applyFont="1" applyFill="1"/>
    <xf numFmtId="166" fontId="33" fillId="0" borderId="0" xfId="0" applyNumberFormat="1" applyFont="1" applyAlignment="1">
      <alignment wrapText="1"/>
    </xf>
    <xf numFmtId="166" fontId="55" fillId="0" borderId="0" xfId="0" applyNumberFormat="1" applyFont="1"/>
    <xf numFmtId="0" fontId="54" fillId="17" borderId="1" xfId="0" applyFont="1" applyFill="1" applyBorder="1" applyAlignment="1">
      <alignment horizontal="left" vertical="center" wrapText="1"/>
    </xf>
    <xf numFmtId="0" fontId="54" fillId="17" borderId="1" xfId="0" applyFont="1" applyFill="1" applyBorder="1" applyAlignment="1">
      <alignment horizontal="left" vertical="center" wrapText="1"/>
    </xf>
    <xf numFmtId="0" fontId="54" fillId="17" borderId="1" xfId="0" applyFont="1" applyFill="1" applyBorder="1" applyAlignment="1">
      <alignment horizontal="left" vertical="center"/>
    </xf>
    <xf numFmtId="0" fontId="55" fillId="0" borderId="0" xfId="0" applyFont="1" applyAlignment="1">
      <alignment horizontal="left" vertical="center" wrapText="1"/>
    </xf>
    <xf numFmtId="164" fontId="15" fillId="17" borderId="1" xfId="23" applyNumberFormat="1" applyFont="1" applyFill="1" applyBorder="1" applyAlignment="1" applyProtection="1">
      <alignment horizontal="center" vertical="center" wrapText="1"/>
      <protection locked="0"/>
    </xf>
    <xf numFmtId="0" fontId="55" fillId="17" borderId="1" xfId="0" applyFont="1" applyFill="1" applyBorder="1" applyAlignment="1">
      <alignment horizontal="left" vertical="center" wrapText="1"/>
    </xf>
    <xf numFmtId="0" fontId="54" fillId="17" borderId="1" xfId="0" applyFont="1" applyFill="1" applyBorder="1" applyAlignment="1">
      <alignment horizontal="justify" vertical="center" wrapText="1"/>
    </xf>
    <xf numFmtId="0" fontId="54" fillId="4" borderId="0" xfId="0" applyFont="1" applyFill="1" applyAlignment="1">
      <alignment horizontal="justify" vertical="center" wrapText="1"/>
    </xf>
    <xf numFmtId="0" fontId="54" fillId="17" borderId="1" xfId="0" applyFont="1" applyFill="1" applyBorder="1" applyAlignment="1">
      <alignment horizontal="justify" vertical="center" wrapText="1"/>
    </xf>
    <xf numFmtId="0" fontId="0" fillId="17" borderId="1" xfId="0" applyFill="1" applyBorder="1" applyAlignment="1">
      <alignment horizontal="justify"/>
    </xf>
    <xf numFmtId="0"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54" fillId="17" borderId="6" xfId="0" applyFont="1" applyFill="1" applyBorder="1" applyAlignment="1">
      <alignment vertical="center" wrapText="1"/>
    </xf>
    <xf numFmtId="0" fontId="21" fillId="4" borderId="20" xfId="23" applyFont="1" applyFill="1" applyBorder="1" applyAlignment="1" applyProtection="1">
      <alignment horizontal="center"/>
      <protection locked="0"/>
    </xf>
    <xf numFmtId="168" fontId="10" fillId="4" borderId="20" xfId="23" applyNumberFormat="1" applyFont="1" applyFill="1" applyBorder="1" applyAlignment="1">
      <alignment horizontal="right" vertical="center" wrapText="1"/>
    </xf>
    <xf numFmtId="0" fontId="54" fillId="17" borderId="1" xfId="0" applyFont="1" applyFill="1" applyBorder="1" applyAlignment="1">
      <alignment horizontal="left" vertical="center" wrapText="1"/>
    </xf>
    <xf numFmtId="44" fontId="33" fillId="0" borderId="0" xfId="11" applyFont="1"/>
    <xf numFmtId="0" fontId="28" fillId="0" borderId="1" xfId="0" applyFont="1" applyBorder="1" applyAlignment="1">
      <alignment horizontal="center"/>
    </xf>
    <xf numFmtId="0" fontId="43" fillId="4" borderId="1" xfId="0" applyFont="1" applyFill="1" applyBorder="1" applyAlignment="1">
      <alignment horizontal="left"/>
    </xf>
    <xf numFmtId="0" fontId="11" fillId="4" borderId="1" xfId="0" applyFont="1" applyFill="1" applyBorder="1" applyAlignment="1">
      <alignment horizontal="center"/>
    </xf>
    <xf numFmtId="0" fontId="11" fillId="4" borderId="1"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0" fillId="0" borderId="1" xfId="0" applyFont="1" applyBorder="1" applyAlignment="1">
      <alignment horizontal="center"/>
    </xf>
    <xf numFmtId="9" fontId="40" fillId="0" borderId="1" xfId="29" applyFont="1" applyBorder="1" applyAlignment="1">
      <alignment horizontal="center"/>
    </xf>
    <xf numFmtId="165" fontId="12" fillId="0" borderId="1" xfId="0" applyNumberFormat="1" applyFont="1" applyFill="1" applyBorder="1" applyAlignment="1" applyProtection="1">
      <alignment horizontal="center" vertical="center" wrapText="1"/>
    </xf>
    <xf numFmtId="0" fontId="22" fillId="0" borderId="1" xfId="23" applyFont="1" applyBorder="1" applyAlignment="1" applyProtection="1">
      <alignment horizontal="center" vertical="center"/>
      <protection locked="0"/>
    </xf>
    <xf numFmtId="165" fontId="12" fillId="0" borderId="6" xfId="0" applyNumberFormat="1" applyFont="1" applyFill="1" applyBorder="1" applyAlignment="1" applyProtection="1">
      <alignment horizontal="left" vertical="center" wrapText="1"/>
    </xf>
    <xf numFmtId="165" fontId="12" fillId="0" borderId="7" xfId="0" applyNumberFormat="1" applyFont="1" applyFill="1" applyBorder="1" applyAlignment="1" applyProtection="1">
      <alignment horizontal="left" vertical="center" wrapText="1"/>
    </xf>
    <xf numFmtId="9" fontId="32" fillId="0" borderId="1" xfId="0" applyNumberFormat="1" applyFont="1" applyFill="1" applyBorder="1" applyAlignment="1">
      <alignment horizontal="center" vertical="center"/>
    </xf>
    <xf numFmtId="165" fontId="12" fillId="0" borderId="3" xfId="0" applyNumberFormat="1" applyFont="1" applyFill="1" applyBorder="1" applyAlignment="1" applyProtection="1">
      <alignment horizontal="left" vertical="center" wrapText="1"/>
    </xf>
    <xf numFmtId="0" fontId="32" fillId="0" borderId="6" xfId="0" applyFont="1" applyBorder="1" applyAlignment="1">
      <alignment horizontal="left" wrapText="1"/>
    </xf>
    <xf numFmtId="0" fontId="32" fillId="0" borderId="7" xfId="0" applyFont="1" applyBorder="1" applyAlignment="1">
      <alignment horizontal="left" wrapText="1"/>
    </xf>
    <xf numFmtId="0" fontId="32" fillId="0" borderId="3" xfId="0" applyFont="1" applyBorder="1" applyAlignment="1">
      <alignment horizontal="left" wrapText="1"/>
    </xf>
    <xf numFmtId="0" fontId="12" fillId="0" borderId="1" xfId="0" applyNumberFormat="1" applyFont="1" applyFill="1" applyBorder="1" applyAlignment="1" applyProtection="1">
      <alignment horizontal="justify" vertical="center" wrapText="1"/>
    </xf>
    <xf numFmtId="165" fontId="12" fillId="0" borderId="1" xfId="0" applyNumberFormat="1" applyFont="1" applyFill="1" applyBorder="1" applyAlignment="1" applyProtection="1">
      <alignment horizontal="justify" vertical="center" wrapText="1"/>
    </xf>
    <xf numFmtId="0" fontId="12" fillId="0" borderId="1" xfId="23" applyFont="1" applyFill="1" applyBorder="1" applyAlignment="1" applyProtection="1">
      <alignment horizontal="center" vertical="center" wrapText="1"/>
    </xf>
    <xf numFmtId="165" fontId="12" fillId="0" borderId="1" xfId="0" applyNumberFormat="1" applyFont="1" applyFill="1" applyBorder="1" applyAlignment="1" applyProtection="1">
      <alignment horizontal="left" vertical="center" wrapText="1"/>
    </xf>
    <xf numFmtId="0" fontId="21" fillId="4" borderId="1" xfId="23" applyFont="1" applyFill="1" applyBorder="1" applyAlignment="1" applyProtection="1">
      <alignment horizontal="center"/>
      <protection locked="0"/>
    </xf>
    <xf numFmtId="165" fontId="12" fillId="0" borderId="6" xfId="0" applyNumberFormat="1" applyFont="1" applyFill="1" applyBorder="1" applyAlignment="1" applyProtection="1">
      <alignment horizontal="center" vertical="center" wrapText="1"/>
    </xf>
    <xf numFmtId="165" fontId="12" fillId="0" borderId="7" xfId="0" applyNumberFormat="1" applyFont="1" applyFill="1" applyBorder="1" applyAlignment="1" applyProtection="1">
      <alignment horizontal="center" vertical="center" wrapText="1"/>
    </xf>
    <xf numFmtId="165" fontId="12" fillId="0" borderId="3"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horizontal="center" vertical="center" wrapText="1"/>
    </xf>
    <xf numFmtId="0" fontId="32" fillId="0" borderId="1" xfId="0" applyFont="1" applyFill="1" applyBorder="1" applyAlignment="1">
      <alignment horizontal="center" vertical="center"/>
    </xf>
    <xf numFmtId="1" fontId="32" fillId="0" borderId="1" xfId="0" applyNumberFormat="1" applyFont="1" applyFill="1" applyBorder="1" applyAlignment="1">
      <alignment horizontal="center" vertical="center"/>
    </xf>
    <xf numFmtId="0" fontId="11" fillId="0" borderId="1" xfId="0" applyFont="1" applyFill="1" applyBorder="1" applyAlignment="1" applyProtection="1">
      <alignment horizontal="center" vertical="center" wrapText="1"/>
    </xf>
    <xf numFmtId="0" fontId="11" fillId="4" borderId="1" xfId="23" applyFont="1" applyFill="1" applyBorder="1" applyAlignment="1" applyProtection="1">
      <alignment horizontal="center" vertical="center" wrapText="1"/>
      <protection locked="0"/>
    </xf>
    <xf numFmtId="166" fontId="12" fillId="0" borderId="1" xfId="0" applyNumberFormat="1" applyFont="1" applyFill="1" applyBorder="1" applyAlignment="1" applyProtection="1">
      <alignment horizontal="right" vertical="center" wrapText="1"/>
      <protection locked="0"/>
    </xf>
    <xf numFmtId="166" fontId="32" fillId="0" borderId="1" xfId="0" applyNumberFormat="1" applyFont="1" applyFill="1" applyBorder="1" applyAlignment="1" applyProtection="1">
      <alignment horizontal="right" vertical="center" wrapText="1"/>
      <protection locked="0"/>
    </xf>
    <xf numFmtId="166" fontId="31" fillId="0" borderId="6" xfId="0" applyNumberFormat="1" applyFont="1" applyFill="1" applyBorder="1" applyAlignment="1" applyProtection="1">
      <alignment horizontal="right" vertical="center" wrapText="1"/>
      <protection locked="0"/>
    </xf>
    <xf numFmtId="166" fontId="31" fillId="0" borderId="7" xfId="0" applyNumberFormat="1" applyFont="1" applyFill="1" applyBorder="1" applyAlignment="1" applyProtection="1">
      <alignment horizontal="right" vertical="center" wrapText="1"/>
      <protection locked="0"/>
    </xf>
    <xf numFmtId="166" fontId="31" fillId="0" borderId="3" xfId="0" applyNumberFormat="1" applyFont="1" applyFill="1" applyBorder="1" applyAlignment="1" applyProtection="1">
      <alignment horizontal="right" vertical="center" wrapText="1"/>
      <protection locked="0"/>
    </xf>
    <xf numFmtId="0" fontId="11" fillId="4" borderId="1" xfId="23" applyFont="1" applyFill="1" applyBorder="1" applyAlignment="1" applyProtection="1">
      <alignment horizontal="center" vertical="center"/>
      <protection locked="0"/>
    </xf>
    <xf numFmtId="166" fontId="31" fillId="0" borderId="1" xfId="0" applyNumberFormat="1" applyFont="1" applyFill="1" applyBorder="1" applyAlignment="1" applyProtection="1">
      <alignment horizontal="right" vertical="center" wrapText="1"/>
      <protection locked="0"/>
    </xf>
    <xf numFmtId="0" fontId="11"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left" vertical="center" wrapText="1"/>
    </xf>
    <xf numFmtId="0" fontId="11" fillId="0" borderId="1" xfId="23" applyFont="1" applyFill="1" applyBorder="1" applyAlignment="1" applyProtection="1">
      <alignment horizontal="center" vertical="center" wrapText="1"/>
    </xf>
    <xf numFmtId="164" fontId="11" fillId="4" borderId="1" xfId="23" applyNumberFormat="1" applyFont="1" applyFill="1" applyBorder="1" applyAlignment="1" applyProtection="1">
      <alignment horizontal="center" vertical="center" wrapText="1"/>
      <protection locked="0"/>
    </xf>
    <xf numFmtId="0" fontId="10" fillId="0" borderId="1" xfId="23" applyFont="1" applyFill="1" applyBorder="1" applyAlignment="1" applyProtection="1">
      <alignment horizontal="left" vertical="center"/>
      <protection locked="0"/>
    </xf>
    <xf numFmtId="174" fontId="23" fillId="0" borderId="6" xfId="23" applyNumberFormat="1" applyFont="1" applyFill="1" applyBorder="1" applyAlignment="1" applyProtection="1">
      <alignment horizontal="center" vertical="center"/>
      <protection locked="0"/>
    </xf>
    <xf numFmtId="174" fontId="23" fillId="0" borderId="7" xfId="23" applyNumberFormat="1" applyFont="1" applyFill="1" applyBorder="1" applyAlignment="1" applyProtection="1">
      <alignment horizontal="center" vertical="center"/>
      <protection locked="0"/>
    </xf>
    <xf numFmtId="174" fontId="23" fillId="0" borderId="3" xfId="23" applyNumberFormat="1" applyFont="1" applyFill="1" applyBorder="1" applyAlignment="1" applyProtection="1">
      <alignment horizontal="center" vertical="center"/>
      <protection locked="0"/>
    </xf>
    <xf numFmtId="174" fontId="22" fillId="0" borderId="6" xfId="23" applyNumberFormat="1" applyFont="1" applyFill="1" applyBorder="1" applyAlignment="1" applyProtection="1">
      <alignment horizontal="center" vertical="center"/>
      <protection locked="0"/>
    </xf>
    <xf numFmtId="174" fontId="22" fillId="0" borderId="7" xfId="23" applyNumberFormat="1" applyFont="1" applyFill="1" applyBorder="1" applyAlignment="1" applyProtection="1">
      <alignment horizontal="center" vertical="center"/>
      <protection locked="0"/>
    </xf>
    <xf numFmtId="174" fontId="22" fillId="0" borderId="3" xfId="23" applyNumberFormat="1" applyFont="1" applyFill="1" applyBorder="1" applyAlignment="1" applyProtection="1">
      <alignment horizontal="center" vertical="center"/>
      <protection locked="0"/>
    </xf>
    <xf numFmtId="3" fontId="23" fillId="0" borderId="6" xfId="23" applyNumberFormat="1" applyFont="1" applyFill="1" applyBorder="1" applyAlignment="1" applyProtection="1">
      <alignment horizontal="center" vertical="center"/>
      <protection locked="0"/>
    </xf>
    <xf numFmtId="3" fontId="23" fillId="0" borderId="7" xfId="23" applyNumberFormat="1" applyFont="1" applyFill="1" applyBorder="1" applyAlignment="1" applyProtection="1">
      <alignment horizontal="center" vertical="center"/>
      <protection locked="0"/>
    </xf>
    <xf numFmtId="3" fontId="23" fillId="0" borderId="3" xfId="23" applyNumberFormat="1" applyFont="1" applyFill="1" applyBorder="1" applyAlignment="1" applyProtection="1">
      <alignment horizontal="center" vertical="center"/>
      <protection locked="0"/>
    </xf>
    <xf numFmtId="174" fontId="23" fillId="0" borderId="6" xfId="23" applyNumberFormat="1" applyFont="1" applyFill="1" applyBorder="1" applyAlignment="1" applyProtection="1">
      <alignment horizontal="right" vertical="center"/>
      <protection locked="0"/>
    </xf>
    <xf numFmtId="174" fontId="23" fillId="0" borderId="7" xfId="23" applyNumberFormat="1" applyFont="1" applyFill="1" applyBorder="1" applyAlignment="1" applyProtection="1">
      <alignment horizontal="right" vertical="center"/>
      <protection locked="0"/>
    </xf>
    <xf numFmtId="174" fontId="23" fillId="0" borderId="3" xfId="23" applyNumberFormat="1" applyFont="1" applyFill="1" applyBorder="1" applyAlignment="1" applyProtection="1">
      <alignment horizontal="right" vertical="center"/>
      <protection locked="0"/>
    </xf>
    <xf numFmtId="0" fontId="21" fillId="0" borderId="0" xfId="23" applyFont="1" applyAlignment="1" applyProtection="1">
      <alignment horizontal="right" vertical="center"/>
      <protection locked="0"/>
    </xf>
    <xf numFmtId="0" fontId="45" fillId="0" borderId="0" xfId="0" applyFont="1" applyAlignment="1">
      <alignment horizontal="right"/>
    </xf>
    <xf numFmtId="0" fontId="11" fillId="10" borderId="1" xfId="0" applyFont="1" applyFill="1" applyBorder="1" applyAlignment="1" applyProtection="1">
      <alignment horizontal="center" vertical="center" wrapText="1"/>
    </xf>
    <xf numFmtId="0" fontId="54" fillId="0" borderId="7" xfId="0" applyFont="1" applyBorder="1" applyAlignment="1">
      <alignment horizontal="left" vertical="center" wrapText="1"/>
    </xf>
    <xf numFmtId="0" fontId="54" fillId="4" borderId="19" xfId="0" applyFont="1" applyFill="1" applyBorder="1" applyAlignment="1">
      <alignment horizontal="justify" vertical="center" wrapText="1"/>
    </xf>
    <xf numFmtId="0" fontId="54" fillId="4" borderId="19" xfId="0" applyFont="1" applyFill="1" applyBorder="1" applyAlignment="1">
      <alignment horizontal="justify" vertical="center"/>
    </xf>
    <xf numFmtId="0" fontId="54" fillId="17" borderId="1" xfId="0" applyFont="1" applyFill="1" applyBorder="1" applyAlignment="1">
      <alignment horizontal="justify" vertical="center" wrapText="1"/>
    </xf>
    <xf numFmtId="0" fontId="54" fillId="4" borderId="19" xfId="0" applyFont="1" applyFill="1" applyBorder="1" applyAlignment="1">
      <alignment horizontal="left" vertical="center" wrapText="1"/>
    </xf>
    <xf numFmtId="0" fontId="54" fillId="17" borderId="6" xfId="0" applyFont="1" applyFill="1" applyBorder="1" applyAlignment="1">
      <alignment horizontal="justify" vertical="center" wrapText="1"/>
    </xf>
    <xf numFmtId="0" fontId="54" fillId="17" borderId="7" xfId="0" applyFont="1" applyFill="1" applyBorder="1" applyAlignment="1">
      <alignment horizontal="justify" vertical="center" wrapText="1"/>
    </xf>
    <xf numFmtId="0" fontId="54" fillId="17" borderId="3" xfId="0" applyFont="1" applyFill="1" applyBorder="1" applyAlignment="1">
      <alignment horizontal="justify" vertical="center" wrapText="1"/>
    </xf>
    <xf numFmtId="0" fontId="47" fillId="0" borderId="1" xfId="0" applyFont="1" applyBorder="1" applyAlignment="1">
      <alignment horizontal="center" vertical="center"/>
    </xf>
    <xf numFmtId="0" fontId="1" fillId="17" borderId="1" xfId="0" applyFont="1" applyFill="1" applyBorder="1" applyAlignment="1">
      <alignment horizontal="justify" vertical="center" wrapText="1"/>
    </xf>
    <xf numFmtId="0" fontId="54" fillId="17" borderId="1" xfId="0" applyFont="1" applyFill="1" applyBorder="1" applyAlignment="1">
      <alignment horizontal="justify" vertical="center"/>
    </xf>
    <xf numFmtId="0" fontId="54" fillId="17" borderId="1" xfId="0" applyFont="1" applyFill="1" applyBorder="1" applyAlignment="1">
      <alignment horizontal="left" vertical="center" wrapText="1"/>
    </xf>
    <xf numFmtId="0" fontId="0" fillId="0" borderId="0" xfId="0" applyAlignment="1">
      <alignment horizontal="center"/>
    </xf>
    <xf numFmtId="0" fontId="0" fillId="0" borderId="19" xfId="0" applyBorder="1" applyAlignment="1">
      <alignment horizontal="center"/>
    </xf>
    <xf numFmtId="0" fontId="54" fillId="17" borderId="6" xfId="0" applyFont="1" applyFill="1" applyBorder="1" applyAlignment="1">
      <alignment horizontal="left" vertical="center" wrapText="1"/>
    </xf>
    <xf numFmtId="0" fontId="54" fillId="17" borderId="7" xfId="0" applyFont="1" applyFill="1" applyBorder="1" applyAlignment="1">
      <alignment horizontal="left" vertical="center" wrapText="1"/>
    </xf>
    <xf numFmtId="0" fontId="54" fillId="17" borderId="3" xfId="0" applyFont="1" applyFill="1" applyBorder="1" applyAlignment="1">
      <alignment horizontal="left" vertical="center" wrapText="1"/>
    </xf>
    <xf numFmtId="0" fontId="47" fillId="0" borderId="2" xfId="0" applyFont="1" applyBorder="1" applyAlignment="1">
      <alignment horizontal="center" wrapText="1"/>
    </xf>
    <xf numFmtId="0" fontId="47" fillId="0" borderId="5" xfId="0" applyFont="1" applyBorder="1" applyAlignment="1">
      <alignment horizontal="center" wrapText="1"/>
    </xf>
    <xf numFmtId="0" fontId="47" fillId="0" borderId="6" xfId="0" applyFont="1" applyBorder="1" applyAlignment="1">
      <alignment horizontal="center" vertical="center" wrapText="1"/>
    </xf>
    <xf numFmtId="0" fontId="47" fillId="0" borderId="3" xfId="0" applyFont="1" applyBorder="1" applyAlignment="1">
      <alignment horizontal="center" vertical="center" wrapText="1"/>
    </xf>
    <xf numFmtId="0" fontId="22" fillId="0" borderId="1" xfId="23" applyFont="1" applyFill="1" applyBorder="1" applyAlignment="1" applyProtection="1">
      <alignment horizontal="center" vertical="center"/>
      <protection locked="0"/>
    </xf>
    <xf numFmtId="0" fontId="52" fillId="0" borderId="0" xfId="0" applyFont="1" applyAlignment="1">
      <alignment horizontal="left" wrapText="1"/>
    </xf>
    <xf numFmtId="0" fontId="54" fillId="10" borderId="20" xfId="0" applyFont="1" applyFill="1" applyBorder="1" applyAlignment="1">
      <alignment horizontal="left" vertical="center" wrapText="1"/>
    </xf>
    <xf numFmtId="0" fontId="47" fillId="0" borderId="0" xfId="0" applyFont="1" applyAlignment="1">
      <alignment horizontal="center" vertical="center"/>
    </xf>
    <xf numFmtId="0" fontId="11" fillId="10" borderId="1" xfId="23" applyFont="1" applyFill="1" applyBorder="1" applyAlignment="1" applyProtection="1">
      <alignment horizontal="center" vertical="center"/>
      <protection locked="0"/>
    </xf>
    <xf numFmtId="9" fontId="11" fillId="0" borderId="1" xfId="23" applyNumberFormat="1" applyFont="1" applyFill="1" applyBorder="1" applyAlignment="1" applyProtection="1">
      <alignment horizontal="center" vertical="center" wrapText="1"/>
    </xf>
    <xf numFmtId="0" fontId="11" fillId="0" borderId="6"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2" fillId="0" borderId="6" xfId="0" applyFont="1" applyFill="1" applyBorder="1" applyAlignment="1" applyProtection="1">
      <alignment horizontal="left" vertical="center" wrapText="1"/>
    </xf>
    <xf numFmtId="0" fontId="12" fillId="0" borderId="7" xfId="0" applyFont="1" applyFill="1" applyBorder="1" applyAlignment="1" applyProtection="1">
      <alignment horizontal="left" vertical="center" wrapText="1"/>
    </xf>
    <xf numFmtId="173" fontId="12" fillId="0" borderId="1" xfId="0" applyNumberFormat="1" applyFont="1" applyFill="1" applyBorder="1" applyAlignment="1" applyProtection="1">
      <alignment horizontal="right" vertical="center" wrapText="1"/>
      <protection locked="0"/>
    </xf>
    <xf numFmtId="0" fontId="11" fillId="0" borderId="3" xfId="0" applyFont="1" applyFill="1" applyBorder="1" applyAlignment="1" applyProtection="1">
      <alignment horizontal="center" vertical="center" wrapText="1"/>
    </xf>
    <xf numFmtId="0" fontId="12" fillId="0" borderId="1" xfId="0" applyFont="1" applyFill="1" applyBorder="1" applyAlignment="1" applyProtection="1">
      <alignment horizontal="center" vertical="center" wrapText="1"/>
    </xf>
    <xf numFmtId="1" fontId="12" fillId="0" borderId="1" xfId="23" applyNumberFormat="1" applyFont="1" applyFill="1" applyBorder="1" applyAlignment="1" applyProtection="1">
      <alignment horizontal="center" vertical="center" wrapText="1"/>
    </xf>
    <xf numFmtId="173" fontId="31" fillId="9" borderId="1" xfId="0" applyNumberFormat="1" applyFont="1" applyFill="1" applyBorder="1" applyAlignment="1" applyProtection="1">
      <alignment horizontal="right" vertical="center" wrapText="1"/>
      <protection locked="0"/>
    </xf>
    <xf numFmtId="166" fontId="11" fillId="0" borderId="1" xfId="0" applyNumberFormat="1" applyFont="1" applyFill="1" applyBorder="1" applyAlignment="1" applyProtection="1">
      <alignment horizontal="right" vertical="center" wrapText="1"/>
      <protection locked="0"/>
    </xf>
    <xf numFmtId="0" fontId="16" fillId="4" borderId="1" xfId="23" applyFont="1" applyFill="1" applyBorder="1" applyAlignment="1" applyProtection="1">
      <alignment horizontal="center" vertical="center"/>
      <protection locked="0"/>
    </xf>
    <xf numFmtId="173" fontId="31" fillId="0" borderId="1" xfId="0" applyNumberFormat="1" applyFont="1" applyFill="1" applyBorder="1" applyAlignment="1" applyProtection="1">
      <alignment horizontal="right" vertical="center" wrapText="1"/>
      <protection locked="0"/>
    </xf>
    <xf numFmtId="173" fontId="12" fillId="0" borderId="1" xfId="24" applyNumberFormat="1" applyFont="1" applyFill="1" applyBorder="1" applyAlignment="1" applyProtection="1">
      <alignment horizontal="right" vertical="center" wrapText="1"/>
      <protection locked="0"/>
    </xf>
    <xf numFmtId="166" fontId="12" fillId="9" borderId="1" xfId="24" applyNumberFormat="1" applyFont="1" applyFill="1" applyBorder="1" applyAlignment="1" applyProtection="1">
      <alignment horizontal="right" vertical="center" wrapText="1"/>
      <protection locked="0"/>
    </xf>
    <xf numFmtId="0" fontId="12" fillId="0" borderId="1" xfId="0" applyNumberFormat="1"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6" xfId="0" applyNumberFormat="1" applyFont="1" applyFill="1" applyBorder="1" applyAlignment="1" applyProtection="1">
      <alignment horizontal="justify" vertical="center" wrapText="1"/>
    </xf>
    <xf numFmtId="0" fontId="12" fillId="0" borderId="3" xfId="0" applyNumberFormat="1" applyFont="1" applyFill="1" applyBorder="1" applyAlignment="1" applyProtection="1">
      <alignment horizontal="justify" vertical="center" wrapText="1"/>
    </xf>
    <xf numFmtId="0" fontId="4" fillId="0" borderId="0" xfId="23" applyFont="1" applyAlignment="1" applyProtection="1">
      <alignment horizontal="right" vertical="center"/>
      <protection locked="0"/>
    </xf>
    <xf numFmtId="0" fontId="7" fillId="0" borderId="0" xfId="23" applyFont="1" applyFill="1" applyAlignment="1" applyProtection="1">
      <alignment horizontal="right" vertical="center"/>
      <protection locked="0"/>
    </xf>
    <xf numFmtId="166" fontId="12" fillId="0" borderId="6" xfId="0" applyNumberFormat="1" applyFont="1" applyFill="1" applyBorder="1" applyAlignment="1" applyProtection="1">
      <alignment horizontal="right" vertical="center" wrapText="1"/>
      <protection locked="0"/>
    </xf>
    <xf numFmtId="166" fontId="12" fillId="0" borderId="3" xfId="0" applyNumberFormat="1" applyFont="1" applyFill="1" applyBorder="1" applyAlignment="1" applyProtection="1">
      <alignment horizontal="right" vertical="center" wrapText="1"/>
      <protection locked="0"/>
    </xf>
    <xf numFmtId="173" fontId="31" fillId="9" borderId="6" xfId="0" applyNumberFormat="1" applyFont="1" applyFill="1" applyBorder="1" applyAlignment="1" applyProtection="1">
      <alignment horizontal="right" vertical="center" wrapText="1"/>
      <protection locked="0"/>
    </xf>
    <xf numFmtId="173" fontId="31" fillId="9" borderId="3" xfId="0" applyNumberFormat="1" applyFont="1" applyFill="1" applyBorder="1" applyAlignment="1" applyProtection="1">
      <alignment horizontal="right" vertical="center" wrapText="1"/>
      <protection locked="0"/>
    </xf>
    <xf numFmtId="166" fontId="12" fillId="0" borderId="6" xfId="0" applyNumberFormat="1" applyFont="1" applyFill="1" applyBorder="1" applyAlignment="1" applyProtection="1">
      <alignment horizontal="center" vertical="center" wrapText="1"/>
      <protection locked="0"/>
    </xf>
    <xf numFmtId="166" fontId="12" fillId="0" borderId="3" xfId="0" applyNumberFormat="1" applyFont="1" applyFill="1" applyBorder="1" applyAlignment="1" applyProtection="1">
      <alignment horizontal="center" vertical="center" wrapText="1"/>
      <protection locked="0"/>
    </xf>
    <xf numFmtId="0" fontId="33" fillId="0" borderId="0" xfId="0" applyFont="1" applyAlignment="1">
      <alignment horizontal="left" vertical="center" wrapText="1"/>
    </xf>
    <xf numFmtId="0" fontId="54" fillId="17" borderId="1" xfId="0" applyFont="1" applyFill="1" applyBorder="1" applyAlignment="1">
      <alignment horizontal="left" vertical="center"/>
    </xf>
    <xf numFmtId="0" fontId="47" fillId="0" borderId="2" xfId="0" applyFont="1" applyBorder="1" applyAlignment="1">
      <alignment horizontal="center" vertical="center" wrapText="1"/>
    </xf>
    <xf numFmtId="0" fontId="47" fillId="0" borderId="5" xfId="0" applyFont="1" applyBorder="1" applyAlignment="1">
      <alignment horizontal="center" vertical="center" wrapText="1"/>
    </xf>
    <xf numFmtId="0" fontId="55" fillId="0" borderId="21" xfId="0" applyFont="1" applyBorder="1" applyAlignment="1">
      <alignment horizontal="left" vertical="center" wrapText="1"/>
    </xf>
    <xf numFmtId="0" fontId="33" fillId="10" borderId="20" xfId="0" applyFont="1" applyFill="1" applyBorder="1" applyAlignment="1">
      <alignment horizontal="left" vertical="center" wrapText="1"/>
    </xf>
    <xf numFmtId="0" fontId="33" fillId="10" borderId="20" xfId="0" applyFont="1" applyFill="1" applyBorder="1" applyAlignment="1">
      <alignment horizontal="left" vertical="center"/>
    </xf>
    <xf numFmtId="0" fontId="54" fillId="4" borderId="19" xfId="0" applyFont="1" applyFill="1" applyBorder="1" applyAlignment="1">
      <alignment horizontal="left" vertical="center"/>
    </xf>
    <xf numFmtId="0" fontId="33" fillId="0" borderId="0" xfId="0" applyFont="1" applyAlignment="1">
      <alignment horizontal="center"/>
    </xf>
    <xf numFmtId="0" fontId="17" fillId="4" borderId="1" xfId="23" applyFont="1" applyFill="1" applyBorder="1" applyAlignment="1" applyProtection="1">
      <alignment horizontal="center"/>
      <protection locked="0"/>
    </xf>
    <xf numFmtId="0" fontId="19" fillId="4" borderId="1" xfId="23" applyFont="1" applyFill="1" applyBorder="1" applyAlignment="1" applyProtection="1">
      <alignment horizontal="center" vertical="center"/>
      <protection locked="0"/>
    </xf>
    <xf numFmtId="0" fontId="19" fillId="0" borderId="1" xfId="0" applyNumberFormat="1" applyFont="1" applyFill="1" applyBorder="1" applyAlignment="1" applyProtection="1">
      <alignment horizontal="left" vertical="center" wrapText="1"/>
    </xf>
    <xf numFmtId="165" fontId="20" fillId="0" borderId="1" xfId="0" applyNumberFormat="1" applyFont="1" applyFill="1" applyBorder="1" applyAlignment="1" applyProtection="1">
      <alignment horizontal="center" vertical="center" wrapText="1"/>
    </xf>
    <xf numFmtId="0" fontId="20" fillId="14" borderId="1" xfId="23" applyFont="1" applyFill="1" applyBorder="1" applyAlignment="1" applyProtection="1">
      <alignment horizontal="center" vertical="center" wrapText="1"/>
    </xf>
    <xf numFmtId="0" fontId="20" fillId="0" borderId="1" xfId="23" applyFont="1" applyFill="1" applyBorder="1" applyAlignment="1" applyProtection="1">
      <alignment horizontal="center" vertical="center" wrapText="1"/>
    </xf>
    <xf numFmtId="165" fontId="20" fillId="0" borderId="1" xfId="0" applyNumberFormat="1" applyFont="1" applyFill="1" applyBorder="1" applyAlignment="1" applyProtection="1">
      <alignment horizontal="left" vertical="center" wrapText="1"/>
    </xf>
    <xf numFmtId="0" fontId="18" fillId="0" borderId="1" xfId="23" applyFont="1" applyFill="1" applyBorder="1" applyAlignment="1" applyProtection="1">
      <alignment horizontal="left" vertical="center"/>
      <protection locked="0"/>
    </xf>
    <xf numFmtId="0" fontId="19" fillId="4" borderId="1" xfId="23" applyFont="1" applyFill="1" applyBorder="1" applyAlignment="1" applyProtection="1">
      <alignment horizontal="center" vertical="center" wrapText="1"/>
      <protection locked="0"/>
    </xf>
    <xf numFmtId="164" fontId="19" fillId="4" borderId="1" xfId="23" applyNumberFormat="1" applyFont="1" applyFill="1" applyBorder="1" applyAlignment="1" applyProtection="1">
      <alignment horizontal="center" vertical="center" wrapText="1"/>
      <protection locked="0"/>
    </xf>
    <xf numFmtId="165" fontId="20" fillId="9" borderId="6" xfId="0" applyNumberFormat="1" applyFont="1" applyFill="1" applyBorder="1" applyAlignment="1" applyProtection="1">
      <alignment horizontal="left" vertical="center" wrapText="1"/>
    </xf>
    <xf numFmtId="165" fontId="20" fillId="9" borderId="3" xfId="0" applyNumberFormat="1" applyFont="1" applyFill="1" applyBorder="1" applyAlignment="1" applyProtection="1">
      <alignment horizontal="left" vertical="center" wrapText="1"/>
    </xf>
    <xf numFmtId="0" fontId="19" fillId="0" borderId="1" xfId="0" applyFont="1" applyFill="1" applyBorder="1" applyAlignment="1" applyProtection="1">
      <alignment horizontal="center" vertical="center" wrapText="1"/>
    </xf>
    <xf numFmtId="166" fontId="20" fillId="0" borderId="1" xfId="0" applyNumberFormat="1" applyFont="1" applyFill="1" applyBorder="1" applyAlignment="1" applyProtection="1">
      <alignment horizontal="right" vertical="center" wrapText="1"/>
      <protection locked="0"/>
    </xf>
    <xf numFmtId="0" fontId="19" fillId="15" borderId="1" xfId="0" applyFont="1" applyFill="1" applyBorder="1" applyAlignment="1" applyProtection="1">
      <alignment horizontal="center" vertical="center" wrapText="1"/>
    </xf>
    <xf numFmtId="166" fontId="36" fillId="0" borderId="1" xfId="0" applyNumberFormat="1" applyFont="1" applyFill="1" applyBorder="1" applyAlignment="1" applyProtection="1">
      <alignment horizontal="center" vertical="center" wrapText="1"/>
      <protection locked="0"/>
    </xf>
    <xf numFmtId="166" fontId="20" fillId="0" borderId="6" xfId="0" applyNumberFormat="1" applyFont="1" applyFill="1" applyBorder="1" applyAlignment="1" applyProtection="1">
      <alignment horizontal="right" vertical="center" wrapText="1"/>
      <protection locked="0"/>
    </xf>
    <xf numFmtId="166" fontId="20" fillId="0" borderId="3" xfId="0" applyNumberFormat="1" applyFont="1" applyFill="1" applyBorder="1" applyAlignment="1" applyProtection="1">
      <alignment horizontal="right" vertical="center" wrapText="1"/>
      <protection locked="0"/>
    </xf>
    <xf numFmtId="0" fontId="20" fillId="0" borderId="1" xfId="23" applyFont="1" applyFill="1" applyBorder="1" applyAlignment="1" applyProtection="1">
      <alignment horizontal="left" vertical="center" wrapText="1"/>
    </xf>
    <xf numFmtId="0" fontId="24" fillId="0" borderId="0" xfId="23" applyFont="1" applyFill="1" applyAlignment="1" applyProtection="1">
      <alignment horizontal="right" vertical="center"/>
      <protection locked="0"/>
    </xf>
    <xf numFmtId="0" fontId="17" fillId="0" borderId="0" xfId="23" applyFont="1" applyFill="1" applyBorder="1" applyAlignment="1" applyProtection="1">
      <alignment horizontal="right" vertical="center"/>
      <protection locked="0"/>
    </xf>
    <xf numFmtId="0" fontId="30" fillId="0" borderId="0" xfId="23" applyFont="1" applyFill="1" applyAlignment="1" applyProtection="1">
      <alignment horizontal="right" vertical="center"/>
      <protection locked="0"/>
    </xf>
    <xf numFmtId="0" fontId="20" fillId="0" borderId="1"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19" fillId="0" borderId="1" xfId="23" applyFont="1" applyFill="1" applyBorder="1" applyAlignment="1" applyProtection="1">
      <alignment horizontal="left" vertical="center"/>
      <protection locked="0"/>
    </xf>
    <xf numFmtId="0" fontId="20" fillId="14" borderId="1" xfId="0" applyFont="1" applyFill="1" applyBorder="1" applyAlignment="1" applyProtection="1">
      <alignment horizontal="center" vertical="center" wrapText="1"/>
    </xf>
    <xf numFmtId="0" fontId="4" fillId="0" borderId="6" xfId="23" applyFont="1" applyFill="1" applyBorder="1" applyAlignment="1" applyProtection="1">
      <alignment horizontal="center" vertical="center" wrapText="1"/>
      <protection locked="0"/>
    </xf>
    <xf numFmtId="0" fontId="4" fillId="0" borderId="3" xfId="23" applyFont="1" applyFill="1" applyBorder="1" applyAlignment="1" applyProtection="1">
      <alignment horizontal="center" vertical="center" wrapText="1"/>
      <protection locked="0"/>
    </xf>
    <xf numFmtId="0" fontId="1" fillId="10" borderId="20" xfId="23" applyFont="1" applyFill="1" applyBorder="1" applyAlignment="1" applyProtection="1">
      <alignment horizontal="left" vertical="center" wrapText="1"/>
      <protection locked="0"/>
    </xf>
    <xf numFmtId="0" fontId="1" fillId="0" borderId="19" xfId="0" applyFont="1" applyFill="1" applyBorder="1" applyAlignment="1" applyProtection="1">
      <alignment horizontal="center" wrapText="1"/>
      <protection locked="0"/>
    </xf>
    <xf numFmtId="0" fontId="1" fillId="0" borderId="0" xfId="0" applyFont="1" applyFill="1" applyBorder="1" applyAlignment="1" applyProtection="1">
      <alignment horizontal="center" wrapText="1"/>
      <protection locked="0"/>
    </xf>
    <xf numFmtId="0" fontId="3" fillId="0" borderId="19" xfId="23" applyFont="1" applyFill="1" applyBorder="1" applyAlignment="1" applyProtection="1">
      <alignment horizontal="center"/>
      <protection locked="0"/>
    </xf>
    <xf numFmtId="0" fontId="3" fillId="0" borderId="0" xfId="23" applyFont="1" applyFill="1" applyBorder="1" applyAlignment="1" applyProtection="1">
      <alignment horizontal="center"/>
      <protection locked="0"/>
    </xf>
    <xf numFmtId="0" fontId="21" fillId="0" borderId="1" xfId="0" applyNumberFormat="1" applyFont="1" applyFill="1" applyBorder="1" applyAlignment="1" applyProtection="1">
      <alignment horizontal="left" vertical="center" wrapText="1"/>
    </xf>
    <xf numFmtId="0" fontId="4" fillId="4" borderId="1" xfId="23" applyFont="1" applyFill="1" applyBorder="1" applyAlignment="1" applyProtection="1">
      <alignment horizontal="center"/>
      <protection locked="0"/>
    </xf>
    <xf numFmtId="0" fontId="21" fillId="0" borderId="1" xfId="23" applyFont="1" applyFill="1" applyBorder="1" applyAlignment="1" applyProtection="1">
      <alignment horizontal="left" vertical="center"/>
      <protection locked="0"/>
    </xf>
    <xf numFmtId="0" fontId="21" fillId="4" borderId="1" xfId="23" applyFont="1" applyFill="1" applyBorder="1" applyAlignment="1" applyProtection="1">
      <alignment horizontal="center" vertical="center"/>
      <protection locked="0"/>
    </xf>
    <xf numFmtId="0" fontId="21" fillId="4" borderId="1" xfId="23" applyFont="1" applyFill="1" applyBorder="1" applyAlignment="1" applyProtection="1">
      <alignment horizontal="center" vertical="center" wrapText="1"/>
      <protection locked="0"/>
    </xf>
    <xf numFmtId="164" fontId="21" fillId="4" borderId="1" xfId="23" applyNumberFormat="1" applyFont="1" applyFill="1" applyBorder="1" applyAlignment="1" applyProtection="1">
      <alignment horizontal="center" vertical="center" wrapText="1"/>
      <protection locked="0"/>
    </xf>
    <xf numFmtId="165" fontId="64" fillId="9" borderId="6" xfId="0" applyNumberFormat="1" applyFont="1" applyFill="1" applyBorder="1" applyAlignment="1" applyProtection="1">
      <alignment horizontal="left" vertical="center" wrapText="1"/>
    </xf>
    <xf numFmtId="165" fontId="64" fillId="9" borderId="3" xfId="0" applyNumberFormat="1" applyFont="1" applyFill="1" applyBorder="1" applyAlignment="1" applyProtection="1">
      <alignment horizontal="left" vertical="center" wrapText="1"/>
    </xf>
    <xf numFmtId="166" fontId="65" fillId="0" borderId="1" xfId="0" applyNumberFormat="1" applyFont="1" applyFill="1" applyBorder="1" applyAlignment="1" applyProtection="1">
      <alignment horizontal="center" vertical="center" wrapText="1"/>
      <protection locked="0"/>
    </xf>
    <xf numFmtId="0" fontId="4" fillId="0" borderId="1" xfId="23" applyFont="1" applyFill="1" applyBorder="1" applyAlignment="1" applyProtection="1">
      <alignment horizontal="center"/>
      <protection locked="0"/>
    </xf>
    <xf numFmtId="166" fontId="1" fillId="17" borderId="1" xfId="23" applyNumberFormat="1" applyFont="1" applyFill="1" applyBorder="1" applyAlignment="1" applyProtection="1">
      <alignment horizontal="center" vertical="center" wrapText="1"/>
      <protection locked="0"/>
    </xf>
    <xf numFmtId="0" fontId="1" fillId="17" borderId="1" xfId="23" applyFont="1" applyFill="1" applyBorder="1" applyAlignment="1" applyProtection="1">
      <alignment horizontal="left" vertical="center" wrapText="1"/>
      <protection locked="0"/>
    </xf>
    <xf numFmtId="166" fontId="64" fillId="0" borderId="1" xfId="0" applyNumberFormat="1" applyFont="1" applyFill="1" applyBorder="1" applyAlignment="1" applyProtection="1">
      <alignment horizontal="right" vertical="center" wrapText="1"/>
      <protection locked="0"/>
    </xf>
    <xf numFmtId="165" fontId="64" fillId="0" borderId="1" xfId="0" applyNumberFormat="1" applyFont="1" applyFill="1" applyBorder="1" applyAlignment="1" applyProtection="1">
      <alignment horizontal="center" vertical="center" wrapText="1"/>
    </xf>
    <xf numFmtId="0" fontId="64" fillId="14" borderId="1" xfId="23" applyFont="1" applyFill="1" applyBorder="1" applyAlignment="1" applyProtection="1">
      <alignment horizontal="center" vertical="center" wrapText="1"/>
    </xf>
    <xf numFmtId="0" fontId="64" fillId="0" borderId="1" xfId="23" applyFont="1" applyFill="1" applyBorder="1" applyAlignment="1" applyProtection="1">
      <alignment horizontal="center" vertical="center" wrapText="1"/>
    </xf>
    <xf numFmtId="0" fontId="4" fillId="0" borderId="2" xfId="23" applyFont="1" applyFill="1" applyBorder="1" applyAlignment="1" applyProtection="1">
      <alignment horizontal="center" wrapText="1"/>
      <protection locked="0"/>
    </xf>
    <xf numFmtId="0" fontId="4" fillId="0" borderId="5" xfId="23" applyFont="1" applyFill="1" applyBorder="1" applyAlignment="1" applyProtection="1">
      <alignment horizontal="center" wrapText="1"/>
      <protection locked="0"/>
    </xf>
    <xf numFmtId="166" fontId="64" fillId="0" borderId="6" xfId="0" applyNumberFormat="1" applyFont="1" applyFill="1" applyBorder="1" applyAlignment="1" applyProtection="1">
      <alignment horizontal="right" vertical="center" wrapText="1"/>
      <protection locked="0"/>
    </xf>
    <xf numFmtId="166" fontId="64" fillId="0" borderId="3" xfId="0" applyNumberFormat="1" applyFont="1" applyFill="1" applyBorder="1" applyAlignment="1" applyProtection="1">
      <alignment horizontal="right" vertical="center" wrapText="1"/>
      <protection locked="0"/>
    </xf>
    <xf numFmtId="0" fontId="21" fillId="0" borderId="1" xfId="0" applyFont="1" applyFill="1" applyBorder="1" applyAlignment="1" applyProtection="1">
      <alignment horizontal="center" vertical="center" wrapText="1"/>
    </xf>
    <xf numFmtId="165" fontId="64" fillId="0" borderId="1" xfId="0" applyNumberFormat="1" applyFont="1" applyFill="1" applyBorder="1" applyAlignment="1" applyProtection="1">
      <alignment horizontal="left" vertical="center" wrapText="1"/>
    </xf>
    <xf numFmtId="0" fontId="64" fillId="0" borderId="1" xfId="23" applyFont="1" applyFill="1" applyBorder="1" applyAlignment="1" applyProtection="1">
      <alignment horizontal="left" vertical="center" wrapText="1"/>
    </xf>
    <xf numFmtId="0" fontId="64" fillId="14" borderId="1" xfId="0" applyFont="1" applyFill="1" applyBorder="1" applyAlignment="1" applyProtection="1">
      <alignment horizontal="center" vertical="center" wrapText="1"/>
    </xf>
    <xf numFmtId="0" fontId="64" fillId="0" borderId="1" xfId="0" applyFont="1" applyFill="1" applyBorder="1" applyAlignment="1" applyProtection="1">
      <alignment horizontal="center" vertical="center" wrapText="1"/>
    </xf>
    <xf numFmtId="0" fontId="1" fillId="4" borderId="19" xfId="23" applyFont="1" applyFill="1" applyBorder="1" applyAlignment="1" applyProtection="1">
      <alignment horizontal="left" vertical="center" wrapText="1"/>
      <protection locked="0"/>
    </xf>
    <xf numFmtId="0" fontId="1" fillId="0" borderId="19" xfId="23" applyFont="1" applyFill="1" applyBorder="1" applyAlignment="1" applyProtection="1">
      <alignment horizontal="center" vertical="center" wrapText="1"/>
      <protection locked="0"/>
    </xf>
    <xf numFmtId="0" fontId="1" fillId="0" borderId="0" xfId="23" applyFont="1" applyFill="1" applyBorder="1" applyAlignment="1" applyProtection="1">
      <alignment horizontal="center" vertical="center" wrapText="1"/>
      <protection locked="0"/>
    </xf>
    <xf numFmtId="0" fontId="1" fillId="17" borderId="6" xfId="23" applyFont="1" applyFill="1" applyBorder="1" applyAlignment="1" applyProtection="1">
      <alignment horizontal="left" vertical="center" wrapText="1"/>
      <protection locked="0"/>
    </xf>
    <xf numFmtId="0" fontId="1" fillId="17" borderId="3" xfId="23" applyFont="1" applyFill="1" applyBorder="1" applyAlignment="1" applyProtection="1">
      <alignment horizontal="left" vertical="center" wrapText="1"/>
      <protection locked="0"/>
    </xf>
    <xf numFmtId="0" fontId="64" fillId="10" borderId="1" xfId="0" applyFont="1" applyFill="1" applyBorder="1" applyAlignment="1" applyProtection="1">
      <alignment horizontal="left" vertical="center" wrapText="1"/>
    </xf>
    <xf numFmtId="0" fontId="64" fillId="0" borderId="1" xfId="0" applyFont="1" applyFill="1" applyBorder="1" applyAlignment="1" applyProtection="1">
      <alignment horizontal="left" vertical="center" wrapText="1"/>
    </xf>
    <xf numFmtId="3" fontId="12" fillId="0" borderId="6" xfId="0" applyNumberFormat="1" applyFont="1" applyFill="1" applyBorder="1" applyAlignment="1" applyProtection="1">
      <alignment horizontal="center" vertical="center" wrapText="1"/>
    </xf>
    <xf numFmtId="3" fontId="12" fillId="0" borderId="7" xfId="0" applyNumberFormat="1" applyFont="1" applyFill="1" applyBorder="1" applyAlignment="1" applyProtection="1">
      <alignment horizontal="center" vertical="center" wrapText="1"/>
    </xf>
    <xf numFmtId="3" fontId="12" fillId="0" borderId="3" xfId="0"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center" vertical="center" wrapText="1"/>
      <protection locked="0"/>
    </xf>
    <xf numFmtId="0" fontId="11" fillId="15" borderId="6" xfId="0" applyFont="1" applyFill="1" applyBorder="1" applyAlignment="1" applyProtection="1">
      <alignment horizontal="center" vertical="center" wrapText="1"/>
    </xf>
    <xf numFmtId="0" fontId="11" fillId="15" borderId="7" xfId="0" applyFont="1" applyFill="1" applyBorder="1" applyAlignment="1" applyProtection="1">
      <alignment horizontal="center" vertical="center" wrapText="1"/>
    </xf>
    <xf numFmtId="0" fontId="11" fillId="15" borderId="3" xfId="0" applyFont="1" applyFill="1" applyBorder="1" applyAlignment="1" applyProtection="1">
      <alignment horizontal="center" vertical="center" wrapText="1"/>
    </xf>
    <xf numFmtId="166" fontId="11" fillId="0" borderId="6" xfId="0" applyNumberFormat="1" applyFont="1" applyFill="1" applyBorder="1" applyAlignment="1" applyProtection="1">
      <alignment horizontal="center" vertical="center" wrapText="1"/>
      <protection locked="0"/>
    </xf>
    <xf numFmtId="166" fontId="11" fillId="0" borderId="7" xfId="0" applyNumberFormat="1" applyFont="1" applyFill="1" applyBorder="1" applyAlignment="1" applyProtection="1">
      <alignment horizontal="center" vertical="center" wrapText="1"/>
      <protection locked="0"/>
    </xf>
    <xf numFmtId="166" fontId="11" fillId="0" borderId="3" xfId="0" applyNumberFormat="1" applyFont="1" applyFill="1" applyBorder="1" applyAlignment="1" applyProtection="1">
      <alignment horizontal="center" vertical="center" wrapText="1"/>
      <protection locked="0"/>
    </xf>
    <xf numFmtId="3" fontId="11" fillId="9" borderId="1" xfId="0" applyNumberFormat="1" applyFont="1" applyFill="1" applyBorder="1" applyAlignment="1" applyProtection="1">
      <alignment horizontal="center" vertical="center" wrapText="1"/>
    </xf>
    <xf numFmtId="0" fontId="44" fillId="0" borderId="0" xfId="0" applyFont="1" applyAlignment="1">
      <alignment horizontal="right"/>
    </xf>
    <xf numFmtId="0" fontId="10" fillId="0" borderId="0" xfId="23" applyFont="1" applyFill="1" applyAlignment="1" applyProtection="1">
      <alignment horizontal="right" vertical="center"/>
      <protection locked="0"/>
    </xf>
    <xf numFmtId="0" fontId="38" fillId="0" borderId="0" xfId="23" applyFont="1" applyFill="1" applyBorder="1" applyAlignment="1" applyProtection="1">
      <alignment vertical="center"/>
      <protection locked="0"/>
    </xf>
    <xf numFmtId="0" fontId="11" fillId="0" borderId="6" xfId="0" applyNumberFormat="1" applyFont="1" applyFill="1" applyBorder="1" applyAlignment="1" applyProtection="1">
      <alignment horizontal="left" vertical="center" wrapText="1"/>
    </xf>
    <xf numFmtId="0" fontId="11" fillId="0" borderId="7" xfId="0" applyNumberFormat="1" applyFont="1" applyFill="1" applyBorder="1" applyAlignment="1" applyProtection="1">
      <alignment horizontal="left" vertical="center" wrapText="1"/>
    </xf>
    <xf numFmtId="0" fontId="11" fillId="0" borderId="3" xfId="0" applyNumberFormat="1" applyFont="1" applyFill="1" applyBorder="1" applyAlignment="1" applyProtection="1">
      <alignment horizontal="left" vertical="center" wrapText="1"/>
    </xf>
    <xf numFmtId="0" fontId="12" fillId="0" borderId="6" xfId="0" applyNumberFormat="1" applyFont="1" applyFill="1" applyBorder="1" applyAlignment="1" applyProtection="1">
      <alignment horizontal="left" vertical="center" wrapText="1"/>
    </xf>
    <xf numFmtId="0" fontId="12" fillId="0" borderId="7" xfId="0" applyNumberFormat="1" applyFont="1" applyFill="1" applyBorder="1" applyAlignment="1" applyProtection="1">
      <alignment horizontal="left" vertical="center" wrapText="1"/>
    </xf>
    <xf numFmtId="0" fontId="12" fillId="0" borderId="3" xfId="0" applyNumberFormat="1" applyFont="1" applyFill="1" applyBorder="1" applyAlignment="1" applyProtection="1">
      <alignment horizontal="left" vertical="center" wrapText="1"/>
    </xf>
    <xf numFmtId="0" fontId="11" fillId="15" borderId="1" xfId="0" applyFont="1" applyFill="1" applyBorder="1" applyAlignment="1" applyProtection="1">
      <alignment horizontal="center" vertical="center" wrapText="1"/>
    </xf>
    <xf numFmtId="165" fontId="12" fillId="9" borderId="1" xfId="0" applyNumberFormat="1" applyFont="1" applyFill="1" applyBorder="1" applyAlignment="1" applyProtection="1">
      <alignment horizontal="left" vertical="center" wrapText="1"/>
    </xf>
    <xf numFmtId="0" fontId="12" fillId="12" borderId="1" xfId="0" applyFont="1" applyFill="1" applyBorder="1" applyAlignment="1" applyProtection="1">
      <alignment horizontal="justify" vertical="center" wrapText="1"/>
    </xf>
    <xf numFmtId="0" fontId="12" fillId="0" borderId="1" xfId="0" applyFont="1" applyFill="1" applyBorder="1" applyAlignment="1" applyProtection="1">
      <alignment horizontal="justify" vertical="center" wrapText="1"/>
    </xf>
    <xf numFmtId="1" fontId="12" fillId="0" borderId="17" xfId="29" applyNumberFormat="1" applyFont="1" applyFill="1" applyBorder="1" applyAlignment="1" applyProtection="1">
      <alignment horizontal="center" vertical="center" wrapText="1"/>
      <protection locked="0"/>
    </xf>
    <xf numFmtId="1" fontId="12" fillId="0" borderId="18" xfId="29" applyNumberFormat="1" applyFont="1" applyFill="1" applyBorder="1" applyAlignment="1" applyProtection="1">
      <alignment horizontal="center" vertical="center" wrapText="1"/>
      <protection locked="0"/>
    </xf>
    <xf numFmtId="166" fontId="12" fillId="0" borderId="1" xfId="23" applyNumberFormat="1" applyFont="1" applyFill="1" applyBorder="1" applyAlignment="1" applyProtection="1">
      <alignment horizontal="right" vertical="center" wrapText="1"/>
      <protection locked="0"/>
    </xf>
    <xf numFmtId="166" fontId="12" fillId="0" borderId="6" xfId="23" applyNumberFormat="1" applyFont="1" applyFill="1" applyBorder="1" applyAlignment="1" applyProtection="1">
      <alignment horizontal="right" vertical="center" wrapText="1"/>
      <protection locked="0"/>
    </xf>
    <xf numFmtId="166" fontId="12" fillId="0" borderId="3" xfId="23" applyNumberFormat="1" applyFont="1" applyFill="1" applyBorder="1" applyAlignment="1" applyProtection="1">
      <alignment horizontal="right" vertical="center" wrapText="1"/>
      <protection locked="0"/>
    </xf>
    <xf numFmtId="3" fontId="12" fillId="9" borderId="6" xfId="0" applyNumberFormat="1" applyFont="1" applyFill="1" applyBorder="1" applyAlignment="1" applyProtection="1">
      <alignment horizontal="center" vertical="center" wrapText="1"/>
    </xf>
    <xf numFmtId="3" fontId="12" fillId="9" borderId="7" xfId="0" applyNumberFormat="1" applyFont="1" applyFill="1" applyBorder="1" applyAlignment="1" applyProtection="1">
      <alignment horizontal="center" vertical="center" wrapText="1"/>
    </xf>
    <xf numFmtId="3" fontId="12" fillId="9" borderId="3" xfId="0" applyNumberFormat="1" applyFont="1" applyFill="1" applyBorder="1" applyAlignment="1" applyProtection="1">
      <alignment horizontal="center" vertical="center" wrapText="1"/>
    </xf>
    <xf numFmtId="0" fontId="33" fillId="10" borderId="0" xfId="0" applyFont="1" applyFill="1" applyAlignment="1">
      <alignment horizontal="left" vertical="center" wrapText="1"/>
    </xf>
    <xf numFmtId="0" fontId="39" fillId="0" borderId="19" xfId="0" applyFont="1" applyBorder="1" applyAlignment="1">
      <alignment horizontal="center"/>
    </xf>
    <xf numFmtId="0" fontId="39" fillId="0" borderId="0" xfId="0" applyFont="1" applyAlignment="1">
      <alignment horizontal="center"/>
    </xf>
    <xf numFmtId="0" fontId="55" fillId="0" borderId="7" xfId="0" applyFont="1" applyBorder="1" applyAlignment="1">
      <alignment horizontal="left" vertical="center" wrapText="1"/>
    </xf>
    <xf numFmtId="0" fontId="39" fillId="0" borderId="19" xfId="0" applyFont="1" applyFill="1" applyBorder="1" applyAlignment="1">
      <alignment horizontal="center" vertical="center" wrapText="1"/>
    </xf>
    <xf numFmtId="0" fontId="39" fillId="0" borderId="0" xfId="0" applyFont="1" applyFill="1" applyBorder="1" applyAlignment="1">
      <alignment horizontal="center" vertical="center" wrapText="1"/>
    </xf>
    <xf numFmtId="3" fontId="11" fillId="10" borderId="1" xfId="0" applyNumberFormat="1" applyFont="1" applyFill="1" applyBorder="1" applyAlignment="1" applyProtection="1">
      <alignment horizontal="center" vertical="center" wrapText="1"/>
    </xf>
    <xf numFmtId="3" fontId="12" fillId="10" borderId="6" xfId="0" applyNumberFormat="1" applyFont="1" applyFill="1" applyBorder="1" applyAlignment="1" applyProtection="1">
      <alignment horizontal="center" vertical="center" wrapText="1"/>
    </xf>
    <xf numFmtId="3" fontId="12" fillId="10" borderId="7" xfId="0" applyNumberFormat="1" applyFont="1" applyFill="1" applyBorder="1" applyAlignment="1" applyProtection="1">
      <alignment horizontal="center" vertical="center" wrapText="1"/>
    </xf>
    <xf numFmtId="3" fontId="12" fillId="10" borderId="3" xfId="0" applyNumberFormat="1" applyFont="1" applyFill="1" applyBorder="1" applyAlignment="1" applyProtection="1">
      <alignment horizontal="center" vertical="center" wrapText="1"/>
    </xf>
    <xf numFmtId="0" fontId="47" fillId="0" borderId="1" xfId="0" applyFont="1" applyBorder="1" applyAlignment="1">
      <alignment horizontal="center"/>
    </xf>
    <xf numFmtId="0" fontId="39" fillId="18" borderId="19" xfId="0" applyFont="1" applyFill="1" applyBorder="1" applyAlignment="1">
      <alignment horizontal="center" vertical="center" wrapText="1"/>
    </xf>
    <xf numFmtId="0" fontId="39" fillId="18" borderId="19" xfId="0" applyFont="1" applyFill="1" applyBorder="1" applyAlignment="1">
      <alignment horizontal="center" vertical="center"/>
    </xf>
    <xf numFmtId="0" fontId="39" fillId="18" borderId="19" xfId="0" applyFont="1" applyFill="1" applyBorder="1" applyAlignment="1">
      <alignment horizontal="left" vertical="center" wrapText="1"/>
    </xf>
    <xf numFmtId="0" fontId="39" fillId="18" borderId="19" xfId="0" applyFont="1" applyFill="1" applyBorder="1" applyAlignment="1">
      <alignment horizontal="left" vertical="center"/>
    </xf>
    <xf numFmtId="165" fontId="12" fillId="10" borderId="6" xfId="0" applyNumberFormat="1" applyFont="1" applyFill="1" applyBorder="1" applyAlignment="1" applyProtection="1">
      <alignment horizontal="center" vertical="center" wrapText="1"/>
    </xf>
    <xf numFmtId="165" fontId="12" fillId="10" borderId="3" xfId="0" applyNumberFormat="1" applyFont="1" applyFill="1" applyBorder="1" applyAlignment="1" applyProtection="1">
      <alignment horizontal="center" vertical="center" wrapText="1"/>
    </xf>
    <xf numFmtId="0" fontId="19" fillId="9" borderId="8" xfId="0" applyFont="1" applyFill="1" applyBorder="1" applyAlignment="1">
      <alignment horizontal="right" vertical="center" wrapText="1"/>
    </xf>
    <xf numFmtId="0" fontId="19" fillId="9" borderId="9" xfId="0" applyFont="1" applyFill="1" applyBorder="1" applyAlignment="1">
      <alignment horizontal="right" vertical="center" wrapText="1"/>
    </xf>
    <xf numFmtId="165" fontId="12" fillId="10" borderId="6" xfId="0" applyNumberFormat="1" applyFont="1" applyFill="1" applyBorder="1" applyAlignment="1" applyProtection="1">
      <alignment horizontal="left" vertical="center" wrapText="1"/>
    </xf>
    <xf numFmtId="165" fontId="12" fillId="10" borderId="3" xfId="0" applyNumberFormat="1" applyFont="1" applyFill="1" applyBorder="1" applyAlignment="1" applyProtection="1">
      <alignment horizontal="left" vertical="center" wrapText="1"/>
    </xf>
    <xf numFmtId="166" fontId="12" fillId="10" borderId="6" xfId="0" applyNumberFormat="1" applyFont="1" applyFill="1" applyBorder="1" applyAlignment="1" applyProtection="1">
      <alignment horizontal="right" vertical="center" wrapText="1"/>
      <protection locked="0"/>
    </xf>
    <xf numFmtId="166" fontId="12" fillId="10" borderId="3" xfId="0" applyNumberFormat="1" applyFont="1" applyFill="1" applyBorder="1" applyAlignment="1" applyProtection="1">
      <alignment horizontal="right" vertical="center" wrapText="1"/>
      <protection locked="0"/>
    </xf>
    <xf numFmtId="166" fontId="12" fillId="10" borderId="6" xfId="23" applyNumberFormat="1" applyFont="1" applyFill="1" applyBorder="1" applyAlignment="1" applyProtection="1">
      <alignment horizontal="right" vertical="center" wrapText="1"/>
      <protection locked="0"/>
    </xf>
    <xf numFmtId="166" fontId="12" fillId="10" borderId="3" xfId="23" applyNumberFormat="1" applyFont="1" applyFill="1" applyBorder="1" applyAlignment="1" applyProtection="1">
      <alignment horizontal="right" vertical="center" wrapText="1"/>
      <protection locked="0"/>
    </xf>
    <xf numFmtId="166" fontId="31" fillId="10" borderId="6" xfId="0" applyNumberFormat="1" applyFont="1" applyFill="1" applyBorder="1" applyAlignment="1" applyProtection="1">
      <alignment horizontal="right" vertical="center" wrapText="1"/>
      <protection locked="0"/>
    </xf>
    <xf numFmtId="166" fontId="31" fillId="10" borderId="3" xfId="0" applyNumberFormat="1" applyFont="1" applyFill="1" applyBorder="1" applyAlignment="1" applyProtection="1">
      <alignment horizontal="right" vertical="center" wrapText="1"/>
      <protection locked="0"/>
    </xf>
    <xf numFmtId="166" fontId="32" fillId="10" borderId="6" xfId="23" applyNumberFormat="1" applyFont="1" applyFill="1" applyBorder="1" applyAlignment="1" applyProtection="1">
      <alignment horizontal="right" vertical="center" wrapText="1"/>
      <protection locked="0"/>
    </xf>
    <xf numFmtId="166" fontId="32" fillId="10" borderId="3" xfId="23" applyNumberFormat="1" applyFont="1" applyFill="1" applyBorder="1" applyAlignment="1" applyProtection="1">
      <alignment horizontal="right" vertical="center" wrapText="1"/>
      <protection locked="0"/>
    </xf>
    <xf numFmtId="165" fontId="12" fillId="12" borderId="6" xfId="0" applyNumberFormat="1" applyFont="1" applyFill="1" applyBorder="1" applyAlignment="1" applyProtection="1">
      <alignment horizontal="justify" vertical="center" wrapText="1"/>
    </xf>
    <xf numFmtId="165" fontId="12" fillId="12" borderId="7" xfId="0" applyNumberFormat="1" applyFont="1" applyFill="1" applyBorder="1" applyAlignment="1" applyProtection="1">
      <alignment horizontal="justify" vertical="center" wrapText="1"/>
    </xf>
    <xf numFmtId="165" fontId="12" fillId="12" borderId="3" xfId="0" applyNumberFormat="1" applyFont="1" applyFill="1" applyBorder="1" applyAlignment="1" applyProtection="1">
      <alignment horizontal="justify" vertical="center" wrapText="1"/>
    </xf>
    <xf numFmtId="0" fontId="12" fillId="10" borderId="6" xfId="23" applyFont="1" applyFill="1" applyBorder="1" applyAlignment="1" applyProtection="1">
      <alignment horizontal="center" vertical="center" wrapText="1"/>
    </xf>
    <xf numFmtId="0" fontId="12" fillId="10" borderId="7" xfId="23" applyFont="1" applyFill="1" applyBorder="1" applyAlignment="1" applyProtection="1">
      <alignment horizontal="center" vertical="center" wrapText="1"/>
    </xf>
    <xf numFmtId="0" fontId="12" fillId="10" borderId="3" xfId="23" applyFont="1" applyFill="1" applyBorder="1" applyAlignment="1" applyProtection="1">
      <alignment horizontal="center" vertical="center" wrapText="1"/>
    </xf>
    <xf numFmtId="165" fontId="12" fillId="0" borderId="6" xfId="0" applyNumberFormat="1" applyFont="1" applyFill="1" applyBorder="1" applyAlignment="1" applyProtection="1">
      <alignment horizontal="justify" vertical="center" wrapText="1"/>
    </xf>
    <xf numFmtId="165" fontId="12" fillId="0" borderId="7" xfId="0" applyNumberFormat="1" applyFont="1" applyFill="1" applyBorder="1" applyAlignment="1" applyProtection="1">
      <alignment horizontal="justify" vertical="center" wrapText="1"/>
    </xf>
    <xf numFmtId="165" fontId="12" fillId="0" borderId="3" xfId="0" applyNumberFormat="1" applyFont="1" applyFill="1" applyBorder="1" applyAlignment="1" applyProtection="1">
      <alignment horizontal="justify" vertical="center" wrapText="1"/>
    </xf>
    <xf numFmtId="3" fontId="11" fillId="10" borderId="6" xfId="0" applyNumberFormat="1" applyFont="1" applyFill="1" applyBorder="1" applyAlignment="1" applyProtection="1">
      <alignment horizontal="center" vertical="center" wrapText="1"/>
    </xf>
    <xf numFmtId="3" fontId="11" fillId="10" borderId="3" xfId="0" applyNumberFormat="1" applyFont="1" applyFill="1" applyBorder="1" applyAlignment="1" applyProtection="1">
      <alignment horizontal="center" vertical="center" wrapText="1"/>
    </xf>
    <xf numFmtId="164" fontId="21" fillId="4" borderId="6" xfId="23" applyNumberFormat="1" applyFont="1" applyFill="1" applyBorder="1" applyAlignment="1" applyProtection="1">
      <alignment horizontal="center" vertical="center" wrapText="1"/>
      <protection locked="0"/>
    </xf>
    <xf numFmtId="164" fontId="21" fillId="4" borderId="3" xfId="23" applyNumberFormat="1" applyFont="1" applyFill="1" applyBorder="1" applyAlignment="1" applyProtection="1">
      <alignment horizontal="center" vertical="center" wrapText="1"/>
      <protection locked="0"/>
    </xf>
    <xf numFmtId="3" fontId="11" fillId="0" borderId="6" xfId="0" applyNumberFormat="1" applyFont="1" applyFill="1" applyBorder="1" applyAlignment="1" applyProtection="1">
      <alignment horizontal="center" vertical="center" wrapText="1"/>
    </xf>
    <xf numFmtId="3" fontId="11" fillId="0" borderId="3" xfId="0" applyNumberFormat="1" applyFont="1" applyFill="1" applyBorder="1" applyAlignment="1" applyProtection="1">
      <alignment horizontal="center" vertical="center" wrapText="1"/>
    </xf>
    <xf numFmtId="166" fontId="40" fillId="0" borderId="6" xfId="0" applyNumberFormat="1" applyFont="1" applyFill="1" applyBorder="1" applyAlignment="1" applyProtection="1">
      <alignment horizontal="right" vertical="center" wrapText="1"/>
      <protection locked="0"/>
    </xf>
    <xf numFmtId="166" fontId="40" fillId="0" borderId="3" xfId="0" applyNumberFormat="1" applyFont="1" applyFill="1" applyBorder="1" applyAlignment="1" applyProtection="1">
      <alignment horizontal="right" vertical="center" wrapText="1"/>
      <protection locked="0"/>
    </xf>
    <xf numFmtId="166" fontId="39" fillId="0" borderId="6" xfId="23" applyNumberFormat="1" applyFont="1" applyFill="1" applyBorder="1" applyAlignment="1" applyProtection="1">
      <alignment horizontal="right" vertical="center" wrapText="1"/>
      <protection locked="0"/>
    </xf>
    <xf numFmtId="166" fontId="39" fillId="0" borderId="3" xfId="23" applyNumberFormat="1" applyFont="1" applyFill="1" applyBorder="1" applyAlignment="1" applyProtection="1">
      <alignment horizontal="right" vertical="center" wrapText="1"/>
      <protection locked="0"/>
    </xf>
    <xf numFmtId="166" fontId="9" fillId="0" borderId="6" xfId="23" applyNumberFormat="1" applyFont="1" applyFill="1" applyBorder="1" applyAlignment="1" applyProtection="1">
      <alignment horizontal="right" vertical="center" wrapText="1"/>
      <protection locked="0"/>
    </xf>
    <xf numFmtId="166" fontId="9" fillId="0" borderId="3" xfId="23" applyNumberFormat="1" applyFont="1" applyFill="1" applyBorder="1" applyAlignment="1" applyProtection="1">
      <alignment horizontal="right" vertical="center" wrapText="1"/>
      <protection locked="0"/>
    </xf>
    <xf numFmtId="166" fontId="9" fillId="0" borderId="6" xfId="0" applyNumberFormat="1" applyFont="1" applyFill="1" applyBorder="1" applyAlignment="1" applyProtection="1">
      <alignment horizontal="right" vertical="center" wrapText="1"/>
      <protection locked="0"/>
    </xf>
    <xf numFmtId="166" fontId="9" fillId="0" borderId="3" xfId="0" applyNumberFormat="1" applyFont="1" applyFill="1" applyBorder="1" applyAlignment="1" applyProtection="1">
      <alignment horizontal="right" vertical="center" wrapText="1"/>
      <protection locked="0"/>
    </xf>
    <xf numFmtId="0" fontId="51" fillId="0" borderId="6" xfId="0" applyFont="1" applyFill="1" applyBorder="1" applyAlignment="1" applyProtection="1">
      <alignment horizontal="center" vertical="center" wrapText="1"/>
    </xf>
    <xf numFmtId="0" fontId="51" fillId="0" borderId="7" xfId="0" applyFont="1" applyFill="1" applyBorder="1" applyAlignment="1" applyProtection="1">
      <alignment horizontal="center" vertical="center" wrapText="1"/>
    </xf>
    <xf numFmtId="0" fontId="51" fillId="0" borderId="3" xfId="0" applyFont="1" applyFill="1" applyBorder="1" applyAlignment="1" applyProtection="1">
      <alignment horizontal="center" vertical="center" wrapText="1"/>
    </xf>
    <xf numFmtId="165" fontId="53" fillId="0" borderId="6" xfId="0" applyNumberFormat="1" applyFont="1" applyFill="1" applyBorder="1" applyAlignment="1" applyProtection="1">
      <alignment horizontal="left" vertical="center" wrapText="1"/>
    </xf>
    <xf numFmtId="165" fontId="53" fillId="0" borderId="3" xfId="0" applyNumberFormat="1" applyFont="1" applyFill="1" applyBorder="1" applyAlignment="1" applyProtection="1">
      <alignment horizontal="left" vertical="center" wrapText="1"/>
    </xf>
    <xf numFmtId="0" fontId="10" fillId="10" borderId="1" xfId="23" applyFont="1" applyFill="1" applyBorder="1" applyAlignment="1" applyProtection="1">
      <alignment horizontal="left" vertical="center"/>
      <protection locked="0"/>
    </xf>
    <xf numFmtId="0" fontId="0" fillId="10" borderId="0" xfId="0" applyFill="1" applyAlignment="1">
      <alignment horizontal="left" vertical="center" wrapText="1"/>
    </xf>
    <xf numFmtId="164" fontId="4" fillId="4" borderId="6" xfId="23" applyNumberFormat="1" applyFont="1" applyFill="1" applyBorder="1" applyAlignment="1" applyProtection="1">
      <alignment horizontal="center" vertical="center" wrapText="1"/>
      <protection locked="0"/>
    </xf>
    <xf numFmtId="164" fontId="4" fillId="4" borderId="3" xfId="23" applyNumberFormat="1" applyFont="1" applyFill="1" applyBorder="1" applyAlignment="1" applyProtection="1">
      <alignment horizontal="center" vertical="center" wrapText="1"/>
      <protection locked="0"/>
    </xf>
    <xf numFmtId="0" fontId="11" fillId="4" borderId="1" xfId="23" applyFont="1" applyFill="1" applyBorder="1" applyAlignment="1" applyProtection="1">
      <alignment horizontal="center"/>
      <protection locked="0"/>
    </xf>
    <xf numFmtId="0" fontId="19" fillId="9" borderId="0" xfId="23" applyFont="1" applyFill="1" applyAlignment="1" applyProtection="1">
      <alignment horizontal="right" vertical="center"/>
      <protection locked="0"/>
    </xf>
    <xf numFmtId="0" fontId="54" fillId="17" borderId="3" xfId="0" applyFont="1" applyFill="1" applyBorder="1" applyAlignment="1">
      <alignment horizontal="left" vertical="center"/>
    </xf>
    <xf numFmtId="0" fontId="46" fillId="0" borderId="6" xfId="0" applyFont="1" applyBorder="1" applyAlignment="1">
      <alignment horizontal="center" vertical="center" wrapText="1"/>
    </xf>
    <xf numFmtId="0" fontId="46" fillId="0" borderId="3" xfId="0" applyFont="1" applyBorder="1" applyAlignment="1">
      <alignment horizontal="center" vertical="center" wrapText="1"/>
    </xf>
    <xf numFmtId="166" fontId="12" fillId="0" borderId="7" xfId="23" applyNumberFormat="1" applyFont="1" applyFill="1" applyBorder="1" applyAlignment="1" applyProtection="1">
      <alignment horizontal="right" vertical="center" wrapText="1"/>
      <protection locked="0"/>
    </xf>
    <xf numFmtId="1" fontId="12" fillId="14" borderId="1" xfId="23" applyNumberFormat="1" applyFont="1" applyFill="1" applyBorder="1" applyAlignment="1" applyProtection="1">
      <alignment horizontal="center" vertical="center" wrapText="1"/>
    </xf>
    <xf numFmtId="166" fontId="11" fillId="0" borderId="6" xfId="23" applyNumberFormat="1" applyFont="1" applyFill="1" applyBorder="1" applyAlignment="1" applyProtection="1">
      <alignment horizontal="right" vertical="center" wrapText="1"/>
      <protection locked="0"/>
    </xf>
    <xf numFmtId="166" fontId="11" fillId="0" borderId="7" xfId="23" applyNumberFormat="1" applyFont="1" applyFill="1" applyBorder="1" applyAlignment="1" applyProtection="1">
      <alignment horizontal="right" vertical="center" wrapText="1"/>
      <protection locked="0"/>
    </xf>
    <xf numFmtId="166" fontId="11" fillId="0" borderId="3" xfId="23" applyNumberFormat="1" applyFont="1" applyFill="1" applyBorder="1" applyAlignment="1" applyProtection="1">
      <alignment horizontal="right" vertical="center" wrapText="1"/>
      <protection locked="0"/>
    </xf>
    <xf numFmtId="1" fontId="11" fillId="0" borderId="1" xfId="0" applyNumberFormat="1" applyFont="1" applyFill="1" applyBorder="1" applyAlignment="1" applyProtection="1">
      <alignment horizontal="center" vertical="center" wrapText="1"/>
    </xf>
    <xf numFmtId="9" fontId="11" fillId="0" borderId="6" xfId="33" applyFont="1" applyFill="1" applyBorder="1" applyAlignment="1" applyProtection="1">
      <alignment horizontal="center" vertical="center" wrapText="1"/>
    </xf>
    <xf numFmtId="9" fontId="11" fillId="0" borderId="7" xfId="33" applyFont="1" applyFill="1" applyBorder="1" applyAlignment="1" applyProtection="1">
      <alignment horizontal="center" vertical="center" wrapText="1"/>
    </xf>
    <xf numFmtId="9" fontId="11" fillId="0" borderId="3" xfId="33" applyFont="1" applyFill="1" applyBorder="1" applyAlignment="1" applyProtection="1">
      <alignment horizontal="center" vertical="center" wrapText="1"/>
    </xf>
    <xf numFmtId="165" fontId="32" fillId="0" borderId="1" xfId="0" applyNumberFormat="1" applyFont="1" applyFill="1" applyBorder="1" applyAlignment="1" applyProtection="1">
      <alignment horizontal="left" vertical="center" wrapText="1"/>
    </xf>
    <xf numFmtId="166" fontId="11" fillId="0" borderId="1" xfId="23" applyNumberFormat="1" applyFont="1" applyFill="1" applyBorder="1" applyAlignment="1" applyProtection="1">
      <alignment horizontal="right" vertical="center" wrapText="1"/>
      <protection locked="0"/>
    </xf>
    <xf numFmtId="1" fontId="11" fillId="0" borderId="6" xfId="23" applyNumberFormat="1" applyFont="1" applyFill="1" applyBorder="1" applyAlignment="1" applyProtection="1">
      <alignment horizontal="center" vertical="center" wrapText="1"/>
    </xf>
    <xf numFmtId="1" fontId="11" fillId="0" borderId="3" xfId="23" applyNumberFormat="1" applyFont="1" applyFill="1" applyBorder="1" applyAlignment="1" applyProtection="1">
      <alignment horizontal="center" vertical="center" wrapText="1"/>
    </xf>
    <xf numFmtId="166" fontId="12" fillId="0" borderId="7" xfId="0" applyNumberFormat="1" applyFont="1" applyFill="1" applyBorder="1" applyAlignment="1" applyProtection="1">
      <alignment horizontal="right" vertical="center" wrapText="1"/>
      <protection locked="0"/>
    </xf>
    <xf numFmtId="0" fontId="7" fillId="0" borderId="0" xfId="23" applyFont="1" applyFill="1" applyBorder="1" applyAlignment="1" applyProtection="1">
      <alignment horizontal="right" vertical="center"/>
      <protection locked="0"/>
    </xf>
    <xf numFmtId="1" fontId="11" fillId="0" borderId="1" xfId="33" applyNumberFormat="1" applyFont="1" applyFill="1" applyBorder="1" applyAlignment="1" applyProtection="1">
      <alignment horizontal="center" vertical="center" wrapText="1"/>
    </xf>
    <xf numFmtId="0" fontId="11" fillId="9" borderId="1" xfId="23" applyFont="1" applyFill="1" applyBorder="1" applyAlignment="1" applyProtection="1">
      <alignment horizontal="left" vertical="center" wrapText="1"/>
      <protection locked="0"/>
    </xf>
    <xf numFmtId="0" fontId="54" fillId="0" borderId="19" xfId="0" applyFont="1" applyBorder="1" applyAlignment="1">
      <alignment horizontal="left" vertical="center" wrapText="1"/>
    </xf>
    <xf numFmtId="0" fontId="68" fillId="4" borderId="1" xfId="23" applyFont="1" applyFill="1" applyBorder="1" applyAlignment="1" applyProtection="1">
      <alignment horizontal="center"/>
      <protection locked="0"/>
    </xf>
    <xf numFmtId="165" fontId="55" fillId="0" borderId="1" xfId="0" applyNumberFormat="1" applyFont="1" applyFill="1" applyBorder="1" applyAlignment="1" applyProtection="1">
      <alignment horizontal="left" vertical="center" wrapText="1"/>
    </xf>
    <xf numFmtId="166" fontId="68" fillId="0" borderId="1" xfId="23" applyNumberFormat="1" applyFont="1" applyFill="1" applyBorder="1" applyAlignment="1" applyProtection="1">
      <alignment horizontal="right" vertical="center" wrapText="1"/>
      <protection locked="0"/>
    </xf>
    <xf numFmtId="166" fontId="57" fillId="0" borderId="1" xfId="23" applyNumberFormat="1" applyFont="1" applyFill="1" applyBorder="1" applyAlignment="1" applyProtection="1">
      <alignment horizontal="right" vertical="center" wrapText="1"/>
      <protection locked="0"/>
    </xf>
    <xf numFmtId="0" fontId="68" fillId="9" borderId="1" xfId="23" applyFont="1" applyFill="1" applyBorder="1" applyAlignment="1" applyProtection="1">
      <alignment horizontal="left" vertical="center" wrapText="1"/>
      <protection locked="0"/>
    </xf>
    <xf numFmtId="0" fontId="57" fillId="0" borderId="1" xfId="0" applyNumberFormat="1" applyFont="1" applyFill="1" applyBorder="1" applyAlignment="1" applyProtection="1">
      <alignment horizontal="left" vertical="center" wrapText="1"/>
    </xf>
    <xf numFmtId="165" fontId="57" fillId="0" borderId="1" xfId="0" applyNumberFormat="1" applyFont="1" applyFill="1" applyBorder="1" applyAlignment="1" applyProtection="1">
      <alignment horizontal="left" vertical="center" wrapText="1"/>
    </xf>
    <xf numFmtId="0" fontId="68" fillId="0" borderId="1" xfId="0" applyFont="1" applyFill="1" applyBorder="1" applyAlignment="1" applyProtection="1">
      <alignment horizontal="center" vertical="center" wrapText="1"/>
    </xf>
    <xf numFmtId="165" fontId="56" fillId="0" borderId="1" xfId="0" applyNumberFormat="1" applyFont="1" applyFill="1" applyBorder="1" applyAlignment="1" applyProtection="1">
      <alignment horizontal="left" vertical="center" wrapText="1"/>
    </xf>
    <xf numFmtId="1" fontId="57" fillId="0" borderId="1" xfId="23" applyNumberFormat="1" applyFont="1" applyFill="1" applyBorder="1" applyAlignment="1" applyProtection="1">
      <alignment horizontal="center" vertical="center" wrapText="1"/>
    </xf>
    <xf numFmtId="1" fontId="68" fillId="0" borderId="1" xfId="0" applyNumberFormat="1" applyFont="1" applyFill="1" applyBorder="1" applyAlignment="1" applyProtection="1">
      <alignment horizontal="center" vertical="center" wrapText="1"/>
    </xf>
    <xf numFmtId="0" fontId="57" fillId="0" borderId="1" xfId="0" applyNumberFormat="1" applyFont="1" applyFill="1" applyBorder="1" applyAlignment="1" applyProtection="1">
      <alignment horizontal="justify" vertical="center" wrapText="1"/>
    </xf>
    <xf numFmtId="0" fontId="57" fillId="0" borderId="6" xfId="0" applyNumberFormat="1" applyFont="1" applyFill="1" applyBorder="1" applyAlignment="1" applyProtection="1">
      <alignment horizontal="left" vertical="center" wrapText="1"/>
    </xf>
    <xf numFmtId="0" fontId="57" fillId="0" borderId="3" xfId="0" applyNumberFormat="1" applyFont="1" applyFill="1" applyBorder="1" applyAlignment="1" applyProtection="1">
      <alignment horizontal="left" vertical="center" wrapText="1"/>
    </xf>
    <xf numFmtId="1" fontId="68" fillId="0" borderId="6" xfId="23" applyNumberFormat="1" applyFont="1" applyFill="1" applyBorder="1" applyAlignment="1" applyProtection="1">
      <alignment horizontal="center" vertical="center" wrapText="1"/>
    </xf>
    <xf numFmtId="1" fontId="68" fillId="0" borderId="3" xfId="23" applyNumberFormat="1" applyFont="1" applyFill="1" applyBorder="1" applyAlignment="1" applyProtection="1">
      <alignment horizontal="center" vertical="center" wrapText="1"/>
    </xf>
    <xf numFmtId="165" fontId="57" fillId="0" borderId="1" xfId="0" applyNumberFormat="1" applyFont="1" applyFill="1" applyBorder="1" applyAlignment="1" applyProtection="1">
      <alignment horizontal="center" vertical="center" wrapText="1"/>
    </xf>
    <xf numFmtId="1" fontId="57" fillId="14" borderId="1" xfId="23" applyNumberFormat="1" applyFont="1" applyFill="1" applyBorder="1" applyAlignment="1" applyProtection="1">
      <alignment horizontal="center" vertical="center" wrapText="1"/>
    </xf>
    <xf numFmtId="166" fontId="57" fillId="0" borderId="1" xfId="0" applyNumberFormat="1" applyFont="1" applyFill="1" applyBorder="1" applyAlignment="1" applyProtection="1">
      <alignment horizontal="right" vertical="center" wrapText="1"/>
      <protection locked="0"/>
    </xf>
    <xf numFmtId="166" fontId="68" fillId="0" borderId="6" xfId="23" applyNumberFormat="1" applyFont="1" applyFill="1" applyBorder="1" applyAlignment="1" applyProtection="1">
      <alignment horizontal="right" vertical="center" wrapText="1"/>
      <protection locked="0"/>
    </xf>
    <xf numFmtId="166" fontId="68" fillId="0" borderId="7" xfId="23" applyNumberFormat="1" applyFont="1" applyFill="1" applyBorder="1" applyAlignment="1" applyProtection="1">
      <alignment horizontal="right" vertical="center" wrapText="1"/>
      <protection locked="0"/>
    </xf>
    <xf numFmtId="166" fontId="68" fillId="0" borderId="3" xfId="23" applyNumberFormat="1" applyFont="1" applyFill="1" applyBorder="1" applyAlignment="1" applyProtection="1">
      <alignment horizontal="right" vertical="center" wrapText="1"/>
      <protection locked="0"/>
    </xf>
    <xf numFmtId="166" fontId="57" fillId="0" borderId="6" xfId="23" applyNumberFormat="1" applyFont="1" applyFill="1" applyBorder="1" applyAlignment="1" applyProtection="1">
      <alignment horizontal="right" vertical="center" wrapText="1"/>
      <protection locked="0"/>
    </xf>
    <xf numFmtId="166" fontId="57" fillId="0" borderId="7" xfId="23" applyNumberFormat="1" applyFont="1" applyFill="1" applyBorder="1" applyAlignment="1" applyProtection="1">
      <alignment horizontal="right" vertical="center" wrapText="1"/>
      <protection locked="0"/>
    </xf>
    <xf numFmtId="166" fontId="57" fillId="0" borderId="3" xfId="23" applyNumberFormat="1" applyFont="1" applyFill="1" applyBorder="1" applyAlignment="1" applyProtection="1">
      <alignment horizontal="right" vertical="center" wrapText="1"/>
      <protection locked="0"/>
    </xf>
    <xf numFmtId="166" fontId="57" fillId="0" borderId="6" xfId="0" applyNumberFormat="1" applyFont="1" applyFill="1" applyBorder="1" applyAlignment="1" applyProtection="1">
      <alignment horizontal="right" vertical="center" wrapText="1"/>
      <protection locked="0"/>
    </xf>
    <xf numFmtId="166" fontId="57" fillId="0" borderId="7" xfId="0" applyNumberFormat="1" applyFont="1" applyFill="1" applyBorder="1" applyAlignment="1" applyProtection="1">
      <alignment horizontal="right" vertical="center" wrapText="1"/>
      <protection locked="0"/>
    </xf>
    <xf numFmtId="166" fontId="57" fillId="0" borderId="3" xfId="0" applyNumberFormat="1" applyFont="1" applyFill="1" applyBorder="1" applyAlignment="1" applyProtection="1">
      <alignment horizontal="right" vertical="center" wrapText="1"/>
      <protection locked="0"/>
    </xf>
    <xf numFmtId="1" fontId="68" fillId="0" borderId="1" xfId="33" applyNumberFormat="1" applyFont="1" applyFill="1" applyBorder="1" applyAlignment="1" applyProtection="1">
      <alignment horizontal="center" vertical="center" wrapText="1"/>
    </xf>
    <xf numFmtId="166" fontId="68" fillId="0" borderId="1" xfId="0" applyNumberFormat="1" applyFont="1" applyFill="1" applyBorder="1" applyAlignment="1" applyProtection="1">
      <alignment horizontal="right" vertical="center" wrapText="1"/>
      <protection locked="0"/>
    </xf>
    <xf numFmtId="0" fontId="15" fillId="0" borderId="1" xfId="23" applyFont="1" applyFill="1" applyBorder="1" applyAlignment="1" applyProtection="1">
      <alignment horizontal="left" vertical="center"/>
      <protection locked="0"/>
    </xf>
    <xf numFmtId="0" fontId="68" fillId="4" borderId="1" xfId="23" applyFont="1" applyFill="1" applyBorder="1" applyAlignment="1" applyProtection="1">
      <alignment horizontal="center" vertical="center"/>
      <protection locked="0"/>
    </xf>
    <xf numFmtId="0" fontId="68" fillId="4" borderId="1" xfId="23" applyFont="1" applyFill="1" applyBorder="1" applyAlignment="1" applyProtection="1">
      <alignment horizontal="center" vertical="center" wrapText="1"/>
      <protection locked="0"/>
    </xf>
    <xf numFmtId="164" fontId="68" fillId="4" borderId="1" xfId="23" applyNumberFormat="1" applyFont="1" applyFill="1" applyBorder="1" applyAlignment="1" applyProtection="1">
      <alignment horizontal="center" vertical="center" wrapText="1"/>
      <protection locked="0"/>
    </xf>
    <xf numFmtId="0" fontId="46" fillId="0" borderId="1" xfId="0" applyFont="1" applyBorder="1" applyAlignment="1">
      <alignment horizontal="center"/>
    </xf>
    <xf numFmtId="164" fontId="4" fillId="17" borderId="6" xfId="23" applyNumberFormat="1" applyFont="1" applyFill="1" applyBorder="1" applyAlignment="1" applyProtection="1">
      <alignment horizontal="center" vertical="center" wrapText="1"/>
      <protection locked="0"/>
    </xf>
    <xf numFmtId="164" fontId="4" fillId="17" borderId="3" xfId="23" applyNumberFormat="1" applyFont="1" applyFill="1" applyBorder="1" applyAlignment="1" applyProtection="1">
      <alignment horizontal="center" vertical="center" wrapText="1"/>
      <protection locked="0"/>
    </xf>
    <xf numFmtId="0" fontId="55" fillId="0" borderId="0" xfId="0" applyFont="1" applyBorder="1" applyAlignment="1">
      <alignment horizontal="left" vertical="center" wrapText="1"/>
    </xf>
    <xf numFmtId="0" fontId="55" fillId="0" borderId="0" xfId="0" applyFont="1" applyAlignment="1">
      <alignment horizontal="left" vertical="center" wrapText="1"/>
    </xf>
    <xf numFmtId="0" fontId="0" fillId="0" borderId="0" xfId="0" applyAlignment="1">
      <alignment horizontal="left"/>
    </xf>
    <xf numFmtId="165" fontId="57" fillId="0" borderId="6" xfId="0" applyNumberFormat="1" applyFont="1" applyFill="1" applyBorder="1" applyAlignment="1" applyProtection="1">
      <alignment horizontal="left" vertical="center" wrapText="1"/>
    </xf>
    <xf numFmtId="165" fontId="57" fillId="0" borderId="7" xfId="0" applyNumberFormat="1" applyFont="1" applyFill="1" applyBorder="1" applyAlignment="1" applyProtection="1">
      <alignment horizontal="left" vertical="center" wrapText="1"/>
    </xf>
    <xf numFmtId="165" fontId="57" fillId="0" borderId="3" xfId="0" applyNumberFormat="1" applyFont="1" applyFill="1" applyBorder="1" applyAlignment="1" applyProtection="1">
      <alignment horizontal="left" vertical="center" wrapText="1"/>
    </xf>
    <xf numFmtId="9" fontId="68" fillId="0" borderId="6" xfId="33" applyFont="1" applyFill="1" applyBorder="1" applyAlignment="1" applyProtection="1">
      <alignment horizontal="center" vertical="center" wrapText="1"/>
    </xf>
    <xf numFmtId="9" fontId="68" fillId="0" borderId="7" xfId="33" applyFont="1" applyFill="1" applyBorder="1" applyAlignment="1" applyProtection="1">
      <alignment horizontal="center" vertical="center" wrapText="1"/>
    </xf>
    <xf numFmtId="9" fontId="68" fillId="0" borderId="3" xfId="33" applyFont="1" applyFill="1" applyBorder="1" applyAlignment="1" applyProtection="1">
      <alignment horizontal="center" vertical="center" wrapText="1"/>
    </xf>
    <xf numFmtId="165" fontId="57" fillId="0" borderId="6" xfId="0" applyNumberFormat="1" applyFont="1" applyFill="1" applyBorder="1" applyAlignment="1" applyProtection="1">
      <alignment horizontal="center" vertical="center" wrapText="1"/>
    </xf>
    <xf numFmtId="165" fontId="57" fillId="0" borderId="7" xfId="0" applyNumberFormat="1" applyFont="1" applyFill="1" applyBorder="1" applyAlignment="1" applyProtection="1">
      <alignment horizontal="center" vertical="center" wrapText="1"/>
    </xf>
    <xf numFmtId="165" fontId="57" fillId="0" borderId="3" xfId="0" applyNumberFormat="1" applyFont="1" applyFill="1" applyBorder="1" applyAlignment="1" applyProtection="1">
      <alignment horizontal="center" vertical="center" wrapText="1"/>
    </xf>
    <xf numFmtId="166" fontId="12" fillId="0" borderId="1" xfId="23" applyNumberFormat="1" applyFont="1" applyFill="1" applyBorder="1" applyAlignment="1" applyProtection="1">
      <alignment horizontal="center" vertical="center" wrapText="1"/>
      <protection locked="0"/>
    </xf>
    <xf numFmtId="1" fontId="12" fillId="0" borderId="1" xfId="29" applyNumberFormat="1" applyFont="1" applyFill="1" applyBorder="1" applyAlignment="1" applyProtection="1">
      <alignment horizontal="center" vertical="center" wrapText="1"/>
    </xf>
    <xf numFmtId="1" fontId="11" fillId="0" borderId="1" xfId="29" applyNumberFormat="1" applyFont="1" applyFill="1" applyBorder="1" applyAlignment="1" applyProtection="1">
      <alignment horizontal="center" vertical="center" wrapText="1"/>
    </xf>
  </cellXfs>
  <cellStyles count="36">
    <cellStyle name="Coma 2" xfId="1"/>
    <cellStyle name="Coma 3" xfId="2"/>
    <cellStyle name="Millares" xfId="3" builtinId="3"/>
    <cellStyle name="Millares 2" xfId="4"/>
    <cellStyle name="Millares 2 2" xfId="5"/>
    <cellStyle name="Millares 2 3" xfId="6"/>
    <cellStyle name="Millares 3" xfId="7"/>
    <cellStyle name="Millares 4" xfId="8"/>
    <cellStyle name="Millares 5" xfId="9"/>
    <cellStyle name="Millares 6" xfId="10"/>
    <cellStyle name="Moneda" xfId="11" builtinId="4"/>
    <cellStyle name="Moneda 2" xfId="12"/>
    <cellStyle name="Moneda 3" xfId="13"/>
    <cellStyle name="Moneda 3 2" xfId="14"/>
    <cellStyle name="Moneda 4" xfId="15"/>
    <cellStyle name="Moneda 5" xfId="16"/>
    <cellStyle name="Moneda 6" xfId="17"/>
    <cellStyle name="Normal" xfId="0" builtinId="0"/>
    <cellStyle name="Normal 10" xfId="18"/>
    <cellStyle name="Normal 11" xfId="19"/>
    <cellStyle name="Normal 13" xfId="20"/>
    <cellStyle name="Normal 14" xfId="21"/>
    <cellStyle name="Normal 15" xfId="22"/>
    <cellStyle name="Normal 2" xfId="23"/>
    <cellStyle name="Normal 3" xfId="24"/>
    <cellStyle name="Normal 3 2" xfId="25"/>
    <cellStyle name="Normal 4" xfId="26"/>
    <cellStyle name="Normal 8" xfId="27"/>
    <cellStyle name="Normal 9" xfId="28"/>
    <cellStyle name="Porcentaje" xfId="29" builtinId="5"/>
    <cellStyle name="Porcentaje 2" xfId="30"/>
    <cellStyle name="Porcentaje 3" xfId="31"/>
    <cellStyle name="Porcentaje 4" xfId="32"/>
    <cellStyle name="Porcentual 2" xfId="33"/>
    <cellStyle name="Porcentual 3" xfId="34"/>
    <cellStyle name="TableStyleLight1" xfId="35"/>
  </cellStyles>
  <dxfs count="340">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889000</xdr:colOff>
      <xdr:row>2</xdr:row>
      <xdr:rowOff>127000</xdr:rowOff>
    </xdr:to>
    <xdr:pic>
      <xdr:nvPicPr>
        <xdr:cNvPr id="3602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889000" cy="5588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177800</xdr:colOff>
      <xdr:row>3</xdr:row>
      <xdr:rowOff>165100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39800" cy="78422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3</xdr:row>
      <xdr:rowOff>247650</xdr:rowOff>
    </xdr:to>
    <xdr:pic>
      <xdr:nvPicPr>
        <xdr:cNvPr id="3705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0"/>
          <a:ext cx="996950" cy="8509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3</xdr:row>
      <xdr:rowOff>247650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0" y="0"/>
          <a:ext cx="996950" cy="895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12700</xdr:rowOff>
    </xdr:from>
    <xdr:to>
      <xdr:col>1</xdr:col>
      <xdr:colOff>990600</xdr:colOff>
      <xdr:row>1</xdr:row>
      <xdr:rowOff>584200</xdr:rowOff>
    </xdr:to>
    <xdr:pic>
      <xdr:nvPicPr>
        <xdr:cNvPr id="40124"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700"/>
          <a:ext cx="990600" cy="9271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1</xdr:col>
      <xdr:colOff>0</xdr:colOff>
      <xdr:row>0</xdr:row>
      <xdr:rowOff>12700</xdr:rowOff>
    </xdr:from>
    <xdr:to>
      <xdr:col>1</xdr:col>
      <xdr:colOff>990600</xdr:colOff>
      <xdr:row>1</xdr:row>
      <xdr:rowOff>584200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12700"/>
          <a:ext cx="990600" cy="9334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39091"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6400" y="0"/>
          <a:ext cx="996950" cy="8509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0525" y="0"/>
          <a:ext cx="996950" cy="86677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889000</xdr:colOff>
      <xdr:row>4</xdr:row>
      <xdr:rowOff>127000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889000" cy="5651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996950</xdr:colOff>
      <xdr:row>4</xdr:row>
      <xdr:rowOff>57150</xdr:rowOff>
    </xdr:to>
    <xdr:pic>
      <xdr:nvPicPr>
        <xdr:cNvPr id="13509"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0"/>
          <a:ext cx="996950" cy="8890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996950</xdr:colOff>
      <xdr:row>5</xdr:row>
      <xdr:rowOff>57150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0"/>
          <a:ext cx="996950" cy="895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260350</xdr:colOff>
      <xdr:row>0</xdr:row>
      <xdr:rowOff>38100</xdr:rowOff>
    </xdr:from>
    <xdr:to>
      <xdr:col>8</xdr:col>
      <xdr:colOff>2019300</xdr:colOff>
      <xdr:row>4</xdr:row>
      <xdr:rowOff>171450</xdr:rowOff>
    </xdr:to>
    <xdr:pic>
      <xdr:nvPicPr>
        <xdr:cNvPr id="12483"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38100"/>
          <a:ext cx="1758950" cy="12890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260350</xdr:colOff>
      <xdr:row>0</xdr:row>
      <xdr:rowOff>38100</xdr:rowOff>
    </xdr:from>
    <xdr:to>
      <xdr:col>8</xdr:col>
      <xdr:colOff>2019300</xdr:colOff>
      <xdr:row>4</xdr:row>
      <xdr:rowOff>171450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1900" y="38100"/>
          <a:ext cx="1758950" cy="130492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95250</xdr:rowOff>
    </xdr:from>
    <xdr:to>
      <xdr:col>1</xdr:col>
      <xdr:colOff>996950</xdr:colOff>
      <xdr:row>3</xdr:row>
      <xdr:rowOff>279400</xdr:rowOff>
    </xdr:to>
    <xdr:pic>
      <xdr:nvPicPr>
        <xdr:cNvPr id="35015"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0100" y="95250"/>
          <a:ext cx="996950" cy="76835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95250</xdr:rowOff>
    </xdr:from>
    <xdr:to>
      <xdr:col>1</xdr:col>
      <xdr:colOff>996950</xdr:colOff>
      <xdr:row>3</xdr:row>
      <xdr:rowOff>279400</xdr:rowOff>
    </xdr:to>
    <xdr:pic>
      <xdr:nvPicPr>
        <xdr:cNvPr id="2"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95250"/>
          <a:ext cx="996950" cy="841375"/>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177800</xdr:colOff>
      <xdr:row>3</xdr:row>
      <xdr:rowOff>165100</xdr:rowOff>
    </xdr:to>
    <xdr:pic>
      <xdr:nvPicPr>
        <xdr:cNvPr id="38077" name="Picture 47" descr="IdeamSoloBaja"/>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0"/>
          <a:ext cx="939800" cy="774700"/>
        </a:xfrm>
        <a:prstGeom prst="rect">
          <a:avLst/>
        </a:prstGeom>
        <a:solidFill>
          <a:srgbClr val="C0504D"/>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LANES%20DE%20CONTRATACION%202011\Plan_Contratacion_Ecosistemas(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POA ENTIDAD"/>
      <sheetName val="2. CONTROL POA DEPENDENCIA"/>
      <sheetName val="3. DETALLE PLAN DE CONTRATACION"/>
      <sheetName val="4. SOLICITUD CDP"/>
      <sheetName val="Copia"/>
    </sheetNames>
    <sheetDataSet>
      <sheetData sheetId="0"/>
      <sheetData sheetId="1"/>
      <sheetData sheetId="2" refreshError="1">
        <row r="493">
          <cell r="L493" t="str">
            <v>C.D. - Convenio Interadministrativo</v>
          </cell>
        </row>
        <row r="494">
          <cell r="L494" t="str">
            <v>C.D. - Proveedor exclusivo</v>
          </cell>
        </row>
        <row r="495">
          <cell r="L495" t="str">
            <v>C.D. - Prestación de Servicios</v>
          </cell>
        </row>
        <row r="496">
          <cell r="L496" t="str">
            <v>C.D. - Ciencia y Tecnología - Convenios de asociación</v>
          </cell>
        </row>
        <row r="497">
          <cell r="L497" t="str">
            <v>Selección abreviada - 10% menor cuantía</v>
          </cell>
        </row>
        <row r="498">
          <cell r="L498" t="str">
            <v>Selección abreviada de menor cuantía</v>
          </cell>
        </row>
        <row r="499">
          <cell r="L499" t="str">
            <v>Selección abreviada - Subasta Inversa</v>
          </cell>
        </row>
        <row r="500">
          <cell r="L500" t="str">
            <v>Licitación Pública</v>
          </cell>
        </row>
        <row r="501">
          <cell r="L501" t="str">
            <v>Concurso de Méritos</v>
          </cell>
        </row>
        <row r="502">
          <cell r="L502" t="str">
            <v>- No Requiere -</v>
          </cell>
        </row>
      </sheetData>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9.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5.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6.xml"/></Relationships>
</file>

<file path=xl/worksheets/_rels/sheet18.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16.xml"/><Relationship Id="rId1" Type="http://schemas.openxmlformats.org/officeDocument/2006/relationships/printerSettings" Target="../printerSettings/printerSettings16.bin"/><Relationship Id="rId4" Type="http://schemas.openxmlformats.org/officeDocument/2006/relationships/comments" Target="../comments18.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2:S29"/>
  <sheetViews>
    <sheetView workbookViewId="0">
      <selection activeCell="I8" sqref="I8"/>
    </sheetView>
  </sheetViews>
  <sheetFormatPr baseColWidth="10" defaultRowHeight="15" x14ac:dyDescent="0.25"/>
  <cols>
    <col min="1" max="1" width="6.85546875" customWidth="1"/>
    <col min="2" max="6" width="11.42578125" hidden="1" customWidth="1"/>
    <col min="7" max="7" width="6.5703125" hidden="1" customWidth="1"/>
    <col min="8" max="8" width="5.85546875" hidden="1" customWidth="1"/>
    <col min="9" max="9" width="31.28515625" customWidth="1"/>
    <col min="10" max="10" width="19.28515625" bestFit="1" customWidth="1"/>
    <col min="11" max="12" width="18.28515625" bestFit="1" customWidth="1"/>
    <col min="13" max="13" width="27" bestFit="1" customWidth="1"/>
    <col min="15" max="15" width="18.28515625" customWidth="1"/>
    <col min="16" max="16" width="25" customWidth="1"/>
    <col min="17" max="17" width="16.7109375" customWidth="1"/>
    <col min="18" max="18" width="33.5703125" customWidth="1"/>
    <col min="19" max="19" width="16.42578125" bestFit="1" customWidth="1"/>
  </cols>
  <sheetData>
    <row r="2" spans="9:19" ht="14.25" customHeight="1" x14ac:dyDescent="0.25"/>
    <row r="3" spans="9:19" x14ac:dyDescent="0.25">
      <c r="I3" s="483" t="s">
        <v>17</v>
      </c>
      <c r="J3" s="483"/>
      <c r="K3" s="483"/>
      <c r="L3" s="483"/>
      <c r="M3" s="483"/>
      <c r="O3" s="484" t="s">
        <v>347</v>
      </c>
      <c r="P3" s="485" t="s">
        <v>348</v>
      </c>
      <c r="Q3" s="487" t="s">
        <v>324</v>
      </c>
    </row>
    <row r="4" spans="9:19" ht="31.5" customHeight="1" x14ac:dyDescent="0.25">
      <c r="I4" s="43" t="s">
        <v>317</v>
      </c>
      <c r="J4" s="44" t="s">
        <v>360</v>
      </c>
      <c r="K4" s="44" t="s">
        <v>19</v>
      </c>
      <c r="L4" s="44" t="s">
        <v>361</v>
      </c>
      <c r="M4" s="43" t="s">
        <v>318</v>
      </c>
      <c r="O4" s="484"/>
      <c r="P4" s="486"/>
      <c r="Q4" s="487"/>
    </row>
    <row r="5" spans="9:19" ht="21.75" customHeight="1" x14ac:dyDescent="0.25">
      <c r="I5" s="47" t="s">
        <v>177</v>
      </c>
      <c r="J5" s="42">
        <f>METEOROLOGÍA!R65</f>
        <v>876844346</v>
      </c>
      <c r="K5" s="42">
        <f>METEOROLOGÍA!S65</f>
        <v>0</v>
      </c>
      <c r="L5" s="42">
        <f>METEOROLOGÍA!T65</f>
        <v>315000000</v>
      </c>
      <c r="M5" s="42">
        <f>METEOROLOGÍA!Q65</f>
        <v>1191844346</v>
      </c>
      <c r="O5" s="42">
        <f>METEOROLOGÍA!U65</f>
        <v>986658537</v>
      </c>
      <c r="P5" s="42"/>
      <c r="Q5" s="164"/>
    </row>
    <row r="6" spans="9:19" ht="25.5" customHeight="1" x14ac:dyDescent="0.25">
      <c r="I6" s="47" t="s">
        <v>112</v>
      </c>
      <c r="J6" s="42">
        <f>HIDROLOGÍA!R34</f>
        <v>2183443753</v>
      </c>
      <c r="K6" s="42">
        <f>HIDROLOGÍA!S34</f>
        <v>0</v>
      </c>
      <c r="L6" s="42">
        <f>HIDROLOGÍA!T34</f>
        <v>300000000</v>
      </c>
      <c r="M6" s="42">
        <f>HIDROLOGÍA!Q34</f>
        <v>2483443753</v>
      </c>
      <c r="O6" s="42">
        <f>HIDROLOGÍA!U34</f>
        <v>452354732</v>
      </c>
      <c r="P6" s="42"/>
      <c r="Q6" s="164"/>
    </row>
    <row r="7" spans="9:19" ht="25.5" customHeight="1" x14ac:dyDescent="0.25">
      <c r="I7" s="47" t="s">
        <v>22</v>
      </c>
      <c r="J7" s="42">
        <f>'ESTUDIOS AMBIENTALES'!Y45</f>
        <v>892201591</v>
      </c>
      <c r="K7" s="42">
        <f>'ESTUDIOS AMBIENTALES'!Z45</f>
        <v>2606983533</v>
      </c>
      <c r="L7" s="42">
        <f>'ESTUDIOS AMBIENTALES'!AA45</f>
        <v>0</v>
      </c>
      <c r="M7" s="42">
        <f>'ESTUDIOS AMBIENTALES'!X45</f>
        <v>3499185124</v>
      </c>
      <c r="O7" s="42">
        <f>'ESTUDIOS AMBIENTALES'!AC45</f>
        <v>47383335</v>
      </c>
      <c r="P7" s="42"/>
      <c r="Q7" s="164"/>
    </row>
    <row r="8" spans="9:19" ht="25.5" customHeight="1" x14ac:dyDescent="0.25">
      <c r="I8" s="371" t="s">
        <v>319</v>
      </c>
      <c r="J8" s="42">
        <f>ECOSISTEMAS!R30</f>
        <v>3743998590</v>
      </c>
      <c r="K8" s="42">
        <f>ECOSISTEMAS!S30</f>
        <v>0</v>
      </c>
      <c r="L8" s="42">
        <f>ECOSISTEMAS!T30</f>
        <v>1500000000</v>
      </c>
      <c r="M8" s="42">
        <f>ECOSISTEMAS!Q30</f>
        <v>5243998590</v>
      </c>
      <c r="O8" s="42">
        <f>ECOSISTEMAS!U30</f>
        <v>125488629</v>
      </c>
      <c r="P8" s="42"/>
      <c r="Q8" s="164"/>
      <c r="R8" s="322">
        <v>113488629</v>
      </c>
      <c r="S8" s="324">
        <f>125488629-R8</f>
        <v>12000000</v>
      </c>
    </row>
    <row r="9" spans="9:19" ht="22.5" customHeight="1" x14ac:dyDescent="0.25">
      <c r="I9" s="47" t="s">
        <v>320</v>
      </c>
      <c r="J9" s="42">
        <f>REDES!R16</f>
        <v>1304923542</v>
      </c>
      <c r="K9" s="42">
        <f>REDES!S16</f>
        <v>350000000</v>
      </c>
      <c r="L9" s="42">
        <f>REDES!T16</f>
        <v>499964668</v>
      </c>
      <c r="M9" s="42">
        <f>REDES!Q16</f>
        <v>2154888210</v>
      </c>
      <c r="O9" s="42">
        <f>REDES!U16</f>
        <v>4621550777</v>
      </c>
      <c r="P9" s="42"/>
      <c r="Q9" s="164"/>
      <c r="R9" s="322">
        <v>4671902628</v>
      </c>
      <c r="S9" s="322">
        <f>4671902628-4621550777</f>
        <v>50351851</v>
      </c>
    </row>
    <row r="10" spans="9:19" ht="18.75" customHeight="1" x14ac:dyDescent="0.25">
      <c r="I10" s="371" t="s">
        <v>302</v>
      </c>
      <c r="J10" s="326">
        <f>INFORMÁTICA!R15</f>
        <v>2528665570</v>
      </c>
      <c r="K10" s="42">
        <f>INFORMÁTICA!S15</f>
        <v>0</v>
      </c>
      <c r="L10" s="326">
        <f>INFORMÁTICA!T15</f>
        <v>1550000000</v>
      </c>
      <c r="M10" s="326">
        <f>INFORMÁTICA!Q15</f>
        <v>4078665570</v>
      </c>
      <c r="O10" s="203">
        <f>INFORMÁTICA!U15</f>
        <v>3845575980.3499999</v>
      </c>
      <c r="P10" s="42"/>
      <c r="Q10" s="164"/>
      <c r="R10" s="204"/>
    </row>
    <row r="11" spans="9:19" ht="24" customHeight="1" x14ac:dyDescent="0.25">
      <c r="I11" s="47" t="s">
        <v>321</v>
      </c>
      <c r="J11" s="325">
        <f>PRONÓSTICOS!R15</f>
        <v>320466580</v>
      </c>
      <c r="K11" s="42">
        <f>PRONÓSTICOS!S15</f>
        <v>0</v>
      </c>
      <c r="L11" s="42">
        <f>PRONÓSTICOS!T15</f>
        <v>0</v>
      </c>
      <c r="M11" s="325">
        <f>PRONÓSTICOS!Q15</f>
        <v>320466580</v>
      </c>
      <c r="O11" s="42">
        <f>PRONÓSTICOS!U15</f>
        <v>1319838034</v>
      </c>
      <c r="P11" s="42"/>
      <c r="Q11" s="164"/>
    </row>
    <row r="12" spans="9:19" ht="21" customHeight="1" x14ac:dyDescent="0.25">
      <c r="I12" s="47" t="s">
        <v>322</v>
      </c>
      <c r="J12" s="329">
        <f>'SECRETARÍA GENERAL'!R22</f>
        <v>3619278993</v>
      </c>
      <c r="K12" s="42">
        <f>'SECRETARÍA GENERAL'!S22</f>
        <v>0</v>
      </c>
      <c r="L12" s="329">
        <f>'SECRETARÍA GENERAL'!T22</f>
        <v>1100000000</v>
      </c>
      <c r="M12" s="329">
        <f>'SECRETARÍA GENERAL'!Q22</f>
        <v>4719278993</v>
      </c>
      <c r="O12" s="42">
        <f>'SECRETARÍA GENERAL'!U22</f>
        <v>10175045216.65</v>
      </c>
      <c r="P12" s="42"/>
      <c r="Q12" s="164"/>
    </row>
    <row r="13" spans="9:19" ht="21" customHeight="1" x14ac:dyDescent="0.25">
      <c r="I13" s="47" t="s">
        <v>313</v>
      </c>
      <c r="J13" s="42">
        <f>PLANEACIÓN!R14</f>
        <v>67977760</v>
      </c>
      <c r="K13" s="42">
        <f>PLANEACIÓN!S14</f>
        <v>0</v>
      </c>
      <c r="L13" s="42">
        <f>PLANEACIÓN!T14</f>
        <v>0</v>
      </c>
      <c r="M13" s="42">
        <f>PLANEACIÓN!Q14</f>
        <v>67977760</v>
      </c>
      <c r="O13" s="42">
        <f>PLANEACIÓN!U14</f>
        <v>63986512</v>
      </c>
      <c r="P13" s="42"/>
      <c r="Q13" s="164"/>
      <c r="R13" s="322">
        <v>25634661</v>
      </c>
      <c r="S13" s="332">
        <f>63986512-25634661</f>
        <v>38351851</v>
      </c>
    </row>
    <row r="14" spans="9:19" ht="22.5" customHeight="1" x14ac:dyDescent="0.3">
      <c r="I14" s="45" t="s">
        <v>53</v>
      </c>
      <c r="J14" s="168">
        <f>SUM(J5:J13)</f>
        <v>15537800725</v>
      </c>
      <c r="K14" s="168">
        <f>SUM(K5:K13)</f>
        <v>2956983533</v>
      </c>
      <c r="L14" s="168">
        <f>SUM(L5:L13)</f>
        <v>5264964668</v>
      </c>
      <c r="M14" s="168">
        <f>SUM(M5:M13)</f>
        <v>23759748926</v>
      </c>
      <c r="O14" s="168">
        <f>O5+O6+O7+O8+O9+O10+O11+O12+O13</f>
        <v>21637881753</v>
      </c>
      <c r="P14" s="482" t="s">
        <v>349</v>
      </c>
      <c r="Q14" s="482"/>
      <c r="S14" s="323"/>
    </row>
    <row r="15" spans="9:19" ht="20.25" customHeight="1" x14ac:dyDescent="0.3">
      <c r="I15" s="165" t="s">
        <v>323</v>
      </c>
      <c r="J15" s="176">
        <v>15537800725</v>
      </c>
      <c r="K15" s="176">
        <v>2956983533</v>
      </c>
      <c r="L15" s="176">
        <v>5264964668</v>
      </c>
      <c r="M15" s="176">
        <f>SUM(J15:L15)</f>
        <v>23759748926</v>
      </c>
      <c r="O15" s="42">
        <v>23516996000</v>
      </c>
      <c r="P15" s="482" t="s">
        <v>350</v>
      </c>
      <c r="Q15" s="482"/>
    </row>
    <row r="16" spans="9:19" ht="20.25" customHeight="1" x14ac:dyDescent="0.3">
      <c r="I16" s="165"/>
      <c r="J16" s="176"/>
      <c r="K16" s="176"/>
      <c r="L16" s="176"/>
      <c r="M16" s="176"/>
      <c r="O16" s="42">
        <v>106197000</v>
      </c>
      <c r="P16" s="482" t="s">
        <v>371</v>
      </c>
      <c r="Q16" s="482"/>
    </row>
    <row r="17" spans="9:17" ht="20.25" customHeight="1" x14ac:dyDescent="0.3">
      <c r="I17" s="165"/>
      <c r="J17" s="176"/>
      <c r="K17" s="176"/>
      <c r="L17" s="176"/>
      <c r="M17" s="176"/>
      <c r="O17" s="42">
        <v>27140000</v>
      </c>
      <c r="P17" s="482" t="s">
        <v>372</v>
      </c>
      <c r="Q17" s="482"/>
    </row>
    <row r="18" spans="9:17" ht="19.899999999999999" customHeight="1" x14ac:dyDescent="0.25">
      <c r="I18" s="165" t="s">
        <v>324</v>
      </c>
      <c r="J18" s="46">
        <f>+J14-J15</f>
        <v>0</v>
      </c>
      <c r="K18" s="46">
        <f>+K14-K15</f>
        <v>0</v>
      </c>
      <c r="L18" s="46">
        <f>+L14-L15</f>
        <v>0</v>
      </c>
      <c r="M18" s="46">
        <f>SUM(J18:L18)</f>
        <v>0</v>
      </c>
      <c r="O18" s="42">
        <v>466650000</v>
      </c>
      <c r="P18" s="482" t="s">
        <v>373</v>
      </c>
      <c r="Q18" s="482"/>
    </row>
    <row r="19" spans="9:17" ht="16.5" x14ac:dyDescent="0.3">
      <c r="I19" t="s">
        <v>407</v>
      </c>
      <c r="J19" s="183"/>
      <c r="K19" s="183"/>
      <c r="L19" s="183"/>
      <c r="M19" s="183"/>
      <c r="O19" s="168">
        <v>460401287</v>
      </c>
      <c r="P19" s="482" t="s">
        <v>374</v>
      </c>
      <c r="Q19" s="482"/>
    </row>
    <row r="20" spans="9:17" ht="16.5" x14ac:dyDescent="0.3">
      <c r="I20" s="327">
        <v>3628665570</v>
      </c>
      <c r="J20" s="327">
        <v>2650000000</v>
      </c>
      <c r="K20" s="327">
        <v>6278665570</v>
      </c>
      <c r="O20" s="168">
        <f>O14+O15+O16+O17+O18+O19</f>
        <v>46215266040</v>
      </c>
      <c r="P20" s="482" t="s">
        <v>351</v>
      </c>
      <c r="Q20" s="482"/>
    </row>
    <row r="21" spans="9:17" x14ac:dyDescent="0.25">
      <c r="I21" s="327">
        <f>3628665570-2528665570</f>
        <v>1100000000</v>
      </c>
      <c r="J21" s="327">
        <f>2650000000-1550000000</f>
        <v>1100000000</v>
      </c>
      <c r="K21" s="327">
        <f>6278665570-4078665570</f>
        <v>2200000000</v>
      </c>
    </row>
    <row r="22" spans="9:17" x14ac:dyDescent="0.25">
      <c r="I22" s="323"/>
      <c r="J22" s="323"/>
      <c r="K22" s="323"/>
      <c r="O22" s="193">
        <v>-0.01</v>
      </c>
    </row>
    <row r="23" spans="9:17" ht="15.75" x14ac:dyDescent="0.25">
      <c r="I23" s="328">
        <v>321466580</v>
      </c>
      <c r="J23" s="323"/>
      <c r="K23" s="328">
        <v>321466580</v>
      </c>
      <c r="L23" s="169">
        <v>46215266040</v>
      </c>
      <c r="M23" s="481" t="s">
        <v>353</v>
      </c>
      <c r="N23" s="481"/>
      <c r="O23" s="192">
        <f>L23</f>
        <v>46215266040</v>
      </c>
    </row>
    <row r="24" spans="9:17" ht="15.75" x14ac:dyDescent="0.25">
      <c r="I24" s="328">
        <f>321466580-320466580</f>
        <v>1000000</v>
      </c>
      <c r="K24" s="328">
        <f>+K23-320466580</f>
        <v>1000000</v>
      </c>
      <c r="L24" s="169">
        <v>24466567258</v>
      </c>
      <c r="M24" s="481" t="s">
        <v>354</v>
      </c>
      <c r="N24" s="481"/>
      <c r="O24" s="192">
        <f>L24-L28-L29</f>
        <v>23759748926</v>
      </c>
    </row>
    <row r="25" spans="9:17" x14ac:dyDescent="0.25">
      <c r="L25" s="170">
        <f>L24+L23</f>
        <v>70681833298</v>
      </c>
      <c r="M25" s="481" t="s">
        <v>355</v>
      </c>
      <c r="N25" s="481"/>
      <c r="O25" s="192">
        <f>O24+O23</f>
        <v>69975014966</v>
      </c>
    </row>
    <row r="26" spans="9:17" x14ac:dyDescent="0.25">
      <c r="I26" s="330">
        <v>2518278993</v>
      </c>
      <c r="J26" s="330">
        <v>0</v>
      </c>
      <c r="K26" s="330">
        <v>2518278993</v>
      </c>
      <c r="L26" s="183"/>
    </row>
    <row r="27" spans="9:17" x14ac:dyDescent="0.25">
      <c r="I27" s="331">
        <f>I26-3619278993</f>
        <v>-1101000000</v>
      </c>
      <c r="J27" s="330">
        <f>+J26-1100000000</f>
        <v>-1100000000</v>
      </c>
      <c r="K27" s="330">
        <f>2518278993-4719278993</f>
        <v>-2201000000</v>
      </c>
      <c r="L27" s="194">
        <f>L28+L29</f>
        <v>706818332</v>
      </c>
      <c r="M27" s="195" t="s">
        <v>358</v>
      </c>
      <c r="N27" s="196"/>
      <c r="O27" s="196"/>
    </row>
    <row r="28" spans="9:17" x14ac:dyDescent="0.25">
      <c r="L28" s="194">
        <v>641198390</v>
      </c>
      <c r="M28" s="195" t="s">
        <v>359</v>
      </c>
      <c r="N28" s="196"/>
      <c r="O28" s="193">
        <v>-0.01</v>
      </c>
    </row>
    <row r="29" spans="9:17" x14ac:dyDescent="0.25">
      <c r="L29" s="194">
        <v>65619942</v>
      </c>
      <c r="M29" s="195" t="s">
        <v>19</v>
      </c>
      <c r="N29" s="196"/>
      <c r="O29" s="193">
        <v>-0.01</v>
      </c>
    </row>
  </sheetData>
  <mergeCells count="14">
    <mergeCell ref="I3:M3"/>
    <mergeCell ref="O3:O4"/>
    <mergeCell ref="P3:P4"/>
    <mergeCell ref="Q3:Q4"/>
    <mergeCell ref="P14:Q14"/>
    <mergeCell ref="M24:N24"/>
    <mergeCell ref="M25:N25"/>
    <mergeCell ref="P18:Q18"/>
    <mergeCell ref="P19:Q19"/>
    <mergeCell ref="P15:Q15"/>
    <mergeCell ref="P20:Q20"/>
    <mergeCell ref="P16:Q16"/>
    <mergeCell ref="P17:Q17"/>
    <mergeCell ref="M23:N2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Y32"/>
  <sheetViews>
    <sheetView topLeftCell="C10" zoomScale="90" zoomScaleNormal="90" workbookViewId="0">
      <selection activeCell="U18" sqref="U18"/>
    </sheetView>
  </sheetViews>
  <sheetFormatPr baseColWidth="10" defaultRowHeight="15" x14ac:dyDescent="0.25"/>
  <cols>
    <col min="2" max="2" width="22.42578125" customWidth="1"/>
    <col min="3" max="3" width="19.28515625" customWidth="1"/>
    <col min="4" max="4" width="20.7109375" customWidth="1"/>
    <col min="5" max="6" width="6.42578125" customWidth="1"/>
    <col min="7" max="7" width="6.5703125" customWidth="1"/>
    <col min="8" max="8" width="6" customWidth="1"/>
    <col min="9" max="9" width="12.85546875" customWidth="1"/>
    <col min="11" max="11" width="20.28515625" customWidth="1"/>
    <col min="12" max="12" width="6" customWidth="1"/>
    <col min="13" max="13" width="22.140625" customWidth="1"/>
    <col min="14" max="14" width="15" customWidth="1"/>
    <col min="15" max="15" width="10.28515625" customWidth="1"/>
    <col min="16" max="16" width="17.28515625" customWidth="1"/>
    <col min="17" max="17" width="19" customWidth="1"/>
    <col min="18" max="18" width="20.5703125" customWidth="1"/>
    <col min="19" max="19" width="19.140625" customWidth="1"/>
    <col min="20" max="20" width="17.7109375" bestFit="1" customWidth="1"/>
    <col min="21" max="21" width="19" customWidth="1"/>
    <col min="23" max="24" width="15.140625" bestFit="1" customWidth="1"/>
    <col min="25" max="25" width="17.85546875" bestFit="1" customWidth="1"/>
  </cols>
  <sheetData>
    <row r="3" spans="2:25" ht="15.75" x14ac:dyDescent="0.25">
      <c r="N3" s="536" t="s">
        <v>0</v>
      </c>
      <c r="O3" s="536"/>
      <c r="P3" s="536"/>
      <c r="Q3" s="536"/>
      <c r="R3" s="536"/>
      <c r="S3" s="536"/>
      <c r="T3" s="536"/>
      <c r="U3" s="536"/>
    </row>
    <row r="4" spans="2:25" ht="18" x14ac:dyDescent="0.25">
      <c r="R4" s="715" t="s">
        <v>356</v>
      </c>
      <c r="S4" s="716"/>
      <c r="T4" s="716"/>
      <c r="U4" s="716"/>
    </row>
    <row r="5" spans="2:25" ht="16.5" x14ac:dyDescent="0.25">
      <c r="B5" s="523" t="s">
        <v>202</v>
      </c>
      <c r="C5" s="523"/>
      <c r="D5" s="523"/>
      <c r="E5" s="523"/>
      <c r="F5" s="523"/>
      <c r="G5" s="523"/>
      <c r="H5" s="523"/>
      <c r="I5" s="523"/>
      <c r="J5" s="523"/>
      <c r="K5" s="523"/>
      <c r="L5" s="523"/>
      <c r="M5" s="523"/>
      <c r="N5" s="523"/>
      <c r="O5" s="523"/>
      <c r="P5" s="523"/>
      <c r="Q5" s="523"/>
      <c r="R5" s="523"/>
      <c r="S5" s="523"/>
      <c r="T5" s="523"/>
      <c r="U5" s="523"/>
    </row>
    <row r="6" spans="2:25" ht="16.5" x14ac:dyDescent="0.25">
      <c r="B6" s="523" t="s">
        <v>221</v>
      </c>
      <c r="C6" s="523"/>
      <c r="D6" s="523"/>
      <c r="E6" s="523"/>
      <c r="F6" s="523"/>
      <c r="G6" s="523"/>
      <c r="H6" s="523"/>
      <c r="I6" s="523"/>
      <c r="J6" s="523"/>
      <c r="K6" s="523"/>
      <c r="L6" s="523"/>
      <c r="M6" s="523"/>
      <c r="N6" s="523"/>
      <c r="O6" s="523"/>
      <c r="P6" s="523"/>
      <c r="Q6" s="523"/>
      <c r="R6" s="523"/>
      <c r="S6" s="523"/>
      <c r="T6" s="523"/>
      <c r="U6" s="523"/>
    </row>
    <row r="7" spans="2:25" x14ac:dyDescent="0.25">
      <c r="B7" s="517" t="s">
        <v>3</v>
      </c>
      <c r="C7" s="517"/>
      <c r="D7" s="517"/>
      <c r="E7" s="517"/>
      <c r="F7" s="517"/>
      <c r="G7" s="517"/>
      <c r="H7" s="517"/>
      <c r="I7" s="517"/>
      <c r="J7" s="517"/>
      <c r="K7" s="84"/>
      <c r="L7" s="517" t="s">
        <v>72</v>
      </c>
      <c r="M7" s="517"/>
      <c r="N7" s="517"/>
      <c r="O7" s="517"/>
      <c r="P7" s="517"/>
      <c r="Q7" s="511" t="s">
        <v>4</v>
      </c>
      <c r="R7" s="511"/>
      <c r="S7" s="511"/>
      <c r="T7" s="511"/>
      <c r="U7" s="522" t="s">
        <v>40</v>
      </c>
    </row>
    <row r="8" spans="2:25" ht="41.25" customHeight="1" x14ac:dyDescent="0.25">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2"/>
    </row>
    <row r="9" spans="2:25" ht="79.5" customHeight="1" x14ac:dyDescent="0.25">
      <c r="B9" s="520" t="s">
        <v>222</v>
      </c>
      <c r="C9" s="580" t="s">
        <v>223</v>
      </c>
      <c r="D9" s="727" t="s">
        <v>224</v>
      </c>
      <c r="E9" s="730">
        <v>0</v>
      </c>
      <c r="F9" s="730">
        <v>0</v>
      </c>
      <c r="G9" s="730">
        <v>100</v>
      </c>
      <c r="H9" s="730">
        <v>430</v>
      </c>
      <c r="I9" s="566">
        <f t="shared" ref="I9:I14" si="0">SUM(E9:H9)</f>
        <v>530</v>
      </c>
      <c r="J9" s="733" t="s">
        <v>215</v>
      </c>
      <c r="K9" s="713" t="s">
        <v>30</v>
      </c>
      <c r="L9" s="670">
        <v>1</v>
      </c>
      <c r="M9" s="717" t="s">
        <v>225</v>
      </c>
      <c r="N9" s="713" t="s">
        <v>226</v>
      </c>
      <c r="O9" s="736">
        <v>0</v>
      </c>
      <c r="P9" s="717" t="s">
        <v>227</v>
      </c>
      <c r="Q9" s="723">
        <f>R9+S9+T9</f>
        <v>0</v>
      </c>
      <c r="R9" s="725">
        <v>0</v>
      </c>
      <c r="S9" s="725">
        <v>0</v>
      </c>
      <c r="T9" s="721">
        <v>0</v>
      </c>
      <c r="U9" s="719">
        <v>0</v>
      </c>
    </row>
    <row r="10" spans="2:25" ht="12.75" customHeight="1" x14ac:dyDescent="0.25">
      <c r="B10" s="520"/>
      <c r="C10" s="580"/>
      <c r="D10" s="728"/>
      <c r="E10" s="731"/>
      <c r="F10" s="731"/>
      <c r="G10" s="731"/>
      <c r="H10" s="731"/>
      <c r="I10" s="567"/>
      <c r="J10" s="734"/>
      <c r="K10" s="714"/>
      <c r="L10" s="672"/>
      <c r="M10" s="718"/>
      <c r="N10" s="714"/>
      <c r="O10" s="737"/>
      <c r="P10" s="718"/>
      <c r="Q10" s="724"/>
      <c r="R10" s="726"/>
      <c r="S10" s="726"/>
      <c r="T10" s="722"/>
      <c r="U10" s="720"/>
    </row>
    <row r="11" spans="2:25" ht="94.5" x14ac:dyDescent="0.25">
      <c r="B11" s="520"/>
      <c r="C11" s="580"/>
      <c r="D11" s="729"/>
      <c r="E11" s="732"/>
      <c r="F11" s="732"/>
      <c r="G11" s="732"/>
      <c r="H11" s="732"/>
      <c r="I11" s="571"/>
      <c r="J11" s="735"/>
      <c r="K11" s="59" t="s">
        <v>30</v>
      </c>
      <c r="L11" s="307">
        <v>2</v>
      </c>
      <c r="M11" s="59" t="s">
        <v>228</v>
      </c>
      <c r="N11" s="59" t="s">
        <v>229</v>
      </c>
      <c r="O11" s="131">
        <v>0.8</v>
      </c>
      <c r="P11" s="59" t="s">
        <v>125</v>
      </c>
      <c r="Q11" s="143">
        <f>SUM(R11:T11)</f>
        <v>1814888210</v>
      </c>
      <c r="R11" s="147">
        <f>1760000000+150000000-75111790-159964668-370000000</f>
        <v>1304923542</v>
      </c>
      <c r="S11" s="147">
        <v>350000000</v>
      </c>
      <c r="T11" s="83">
        <v>159964668</v>
      </c>
      <c r="U11" s="63">
        <v>4621550777</v>
      </c>
      <c r="W11" s="200"/>
      <c r="X11" s="166"/>
      <c r="Y11" s="166"/>
    </row>
    <row r="12" spans="2:25" ht="60" customHeight="1" x14ac:dyDescent="0.25">
      <c r="B12" s="520"/>
      <c r="C12" s="580"/>
      <c r="D12" s="59" t="s">
        <v>230</v>
      </c>
      <c r="E12" s="57">
        <v>5</v>
      </c>
      <c r="F12" s="57">
        <v>5</v>
      </c>
      <c r="G12" s="57">
        <v>5</v>
      </c>
      <c r="H12" s="57">
        <v>5</v>
      </c>
      <c r="I12" s="58">
        <f t="shared" si="0"/>
        <v>20</v>
      </c>
      <c r="J12" s="59" t="s">
        <v>215</v>
      </c>
      <c r="K12" s="59" t="s">
        <v>30</v>
      </c>
      <c r="L12" s="58">
        <v>3</v>
      </c>
      <c r="M12" s="59" t="s">
        <v>231</v>
      </c>
      <c r="N12" s="59" t="s">
        <v>232</v>
      </c>
      <c r="O12" s="137">
        <v>5</v>
      </c>
      <c r="P12" s="59" t="s">
        <v>227</v>
      </c>
      <c r="Q12" s="143">
        <f>R12+S12+T12</f>
        <v>0</v>
      </c>
      <c r="R12" s="147">
        <v>0</v>
      </c>
      <c r="S12" s="147">
        <v>0</v>
      </c>
      <c r="T12" s="83">
        <v>0</v>
      </c>
      <c r="U12" s="63">
        <v>0</v>
      </c>
    </row>
    <row r="13" spans="2:25" ht="94.5" x14ac:dyDescent="0.25">
      <c r="B13" s="520"/>
      <c r="C13" s="580"/>
      <c r="D13" s="59" t="s">
        <v>233</v>
      </c>
      <c r="E13" s="57">
        <v>0</v>
      </c>
      <c r="F13" s="57">
        <v>15</v>
      </c>
      <c r="G13" s="57">
        <v>15</v>
      </c>
      <c r="H13" s="57">
        <v>10</v>
      </c>
      <c r="I13" s="58">
        <f t="shared" si="0"/>
        <v>40</v>
      </c>
      <c r="J13" s="59" t="s">
        <v>215</v>
      </c>
      <c r="K13" s="59" t="s">
        <v>30</v>
      </c>
      <c r="L13" s="307">
        <v>4</v>
      </c>
      <c r="M13" s="59" t="s">
        <v>234</v>
      </c>
      <c r="N13" s="59" t="s">
        <v>233</v>
      </c>
      <c r="O13" s="137">
        <v>15</v>
      </c>
      <c r="P13" s="59" t="s">
        <v>227</v>
      </c>
      <c r="Q13" s="143">
        <f>R13+S13+T13</f>
        <v>260000000</v>
      </c>
      <c r="R13" s="147">
        <v>0</v>
      </c>
      <c r="S13" s="147">
        <v>0</v>
      </c>
      <c r="T13" s="83">
        <v>260000000</v>
      </c>
      <c r="U13" s="63">
        <v>0</v>
      </c>
    </row>
    <row r="14" spans="2:25" ht="94.5" x14ac:dyDescent="0.25">
      <c r="B14" s="520"/>
      <c r="C14" s="580"/>
      <c r="D14" s="59" t="s">
        <v>235</v>
      </c>
      <c r="E14" s="69">
        <v>0</v>
      </c>
      <c r="F14" s="69">
        <v>0.35</v>
      </c>
      <c r="G14" s="69">
        <v>0.35</v>
      </c>
      <c r="H14" s="69">
        <v>0.3</v>
      </c>
      <c r="I14" s="131">
        <f t="shared" si="0"/>
        <v>1</v>
      </c>
      <c r="J14" s="59" t="s">
        <v>215</v>
      </c>
      <c r="K14" s="59" t="s">
        <v>30</v>
      </c>
      <c r="L14" s="58">
        <v>5</v>
      </c>
      <c r="M14" s="59" t="s">
        <v>236</v>
      </c>
      <c r="N14" s="59" t="s">
        <v>237</v>
      </c>
      <c r="O14" s="131">
        <v>0.35</v>
      </c>
      <c r="P14" s="59" t="s">
        <v>125</v>
      </c>
      <c r="Q14" s="143">
        <f>R14+S14+T14</f>
        <v>80000000</v>
      </c>
      <c r="R14" s="147">
        <v>0</v>
      </c>
      <c r="S14" s="147">
        <v>0</v>
      </c>
      <c r="T14" s="83">
        <v>80000000</v>
      </c>
      <c r="U14" s="63">
        <v>0</v>
      </c>
      <c r="W14" s="166"/>
    </row>
    <row r="15" spans="2:25" ht="94.5" x14ac:dyDescent="0.25">
      <c r="B15" s="520"/>
      <c r="C15" s="580"/>
      <c r="D15" s="59" t="s">
        <v>238</v>
      </c>
      <c r="E15" s="57">
        <v>0</v>
      </c>
      <c r="F15" s="57">
        <v>1</v>
      </c>
      <c r="G15" s="57">
        <v>0</v>
      </c>
      <c r="H15" s="57">
        <v>0</v>
      </c>
      <c r="I15" s="58">
        <v>1</v>
      </c>
      <c r="J15" s="59" t="s">
        <v>215</v>
      </c>
      <c r="K15" s="59" t="s">
        <v>30</v>
      </c>
      <c r="L15" s="58">
        <v>6</v>
      </c>
      <c r="M15" s="59" t="s">
        <v>239</v>
      </c>
      <c r="N15" s="59" t="s">
        <v>240</v>
      </c>
      <c r="O15" s="137">
        <v>1</v>
      </c>
      <c r="P15" s="59" t="s">
        <v>125</v>
      </c>
      <c r="Q15" s="143">
        <f>R15+S15+T15</f>
        <v>0</v>
      </c>
      <c r="R15" s="147">
        <v>0</v>
      </c>
      <c r="S15" s="147">
        <v>0</v>
      </c>
      <c r="T15" s="83">
        <v>0</v>
      </c>
      <c r="U15" s="63">
        <v>0</v>
      </c>
    </row>
    <row r="16" spans="2:25" ht="15.75" x14ac:dyDescent="0.25">
      <c r="B16" s="635" t="s">
        <v>53</v>
      </c>
      <c r="C16" s="635"/>
      <c r="D16" s="635"/>
      <c r="E16" s="635"/>
      <c r="F16" s="635"/>
      <c r="G16" s="635"/>
      <c r="H16" s="635"/>
      <c r="I16" s="635"/>
      <c r="J16" s="635"/>
      <c r="K16" s="635"/>
      <c r="L16" s="635"/>
      <c r="M16" s="635"/>
      <c r="N16" s="635"/>
      <c r="O16" s="635"/>
      <c r="P16" s="635"/>
      <c r="Q16" s="89">
        <f>SUBTOTAL(9,Q8:Q15)</f>
        <v>2154888210</v>
      </c>
      <c r="R16" s="163">
        <f>R15+R14+R13+R12+R11+R9</f>
        <v>1304923542</v>
      </c>
      <c r="S16" s="163">
        <f>SUBTOTAL(9,S8:S15)</f>
        <v>350000000</v>
      </c>
      <c r="T16" s="163">
        <f>SUBTOTAL(9,T8:T15)</f>
        <v>499964668</v>
      </c>
      <c r="U16" s="163">
        <f>SUBTOTAL(9,U8:U15)</f>
        <v>4621550777</v>
      </c>
    </row>
    <row r="18" spans="2:25" ht="90" x14ac:dyDescent="0.25">
      <c r="B18" s="312" t="s">
        <v>394</v>
      </c>
      <c r="U18" s="316" t="s">
        <v>397</v>
      </c>
      <c r="Y18" s="187"/>
    </row>
    <row r="19" spans="2:25" x14ac:dyDescent="0.25">
      <c r="B19" s="243" t="s">
        <v>392</v>
      </c>
      <c r="T19" s="317"/>
    </row>
    <row r="20" spans="2:25" x14ac:dyDescent="0.25">
      <c r="R20" s="185"/>
      <c r="Y20" s="186"/>
    </row>
    <row r="21" spans="2:25" x14ac:dyDescent="0.25">
      <c r="R21" s="185"/>
      <c r="S21" s="186"/>
    </row>
    <row r="22" spans="2:25" x14ac:dyDescent="0.25">
      <c r="R22" s="185"/>
    </row>
    <row r="23" spans="2:25" x14ac:dyDescent="0.25">
      <c r="R23" s="185"/>
    </row>
    <row r="24" spans="2:25" x14ac:dyDescent="0.25">
      <c r="R24" s="185"/>
      <c r="S24" s="186"/>
    </row>
    <row r="25" spans="2:25" x14ac:dyDescent="0.25">
      <c r="R25" s="185"/>
    </row>
    <row r="26" spans="2:25" x14ac:dyDescent="0.25">
      <c r="R26" s="185"/>
    </row>
    <row r="27" spans="2:25" x14ac:dyDescent="0.25">
      <c r="R27" s="185"/>
    </row>
    <row r="28" spans="2:25" x14ac:dyDescent="0.25">
      <c r="R28" s="185"/>
    </row>
    <row r="29" spans="2:25" x14ac:dyDescent="0.25">
      <c r="R29" s="185"/>
    </row>
    <row r="30" spans="2:25" x14ac:dyDescent="0.25">
      <c r="R30" s="185"/>
    </row>
    <row r="31" spans="2:25" x14ac:dyDescent="0.25">
      <c r="R31" s="185"/>
    </row>
    <row r="32" spans="2:25" x14ac:dyDescent="0.25">
      <c r="R32" s="185"/>
    </row>
  </sheetData>
  <mergeCells count="29">
    <mergeCell ref="B16:P16"/>
    <mergeCell ref="K9:K10"/>
    <mergeCell ref="B5:U5"/>
    <mergeCell ref="B6:U6"/>
    <mergeCell ref="B7:J7"/>
    <mergeCell ref="D9:D11"/>
    <mergeCell ref="S9:S10"/>
    <mergeCell ref="I9:I11"/>
    <mergeCell ref="H9:H11"/>
    <mergeCell ref="G9:G11"/>
    <mergeCell ref="F9:F11"/>
    <mergeCell ref="J9:J11"/>
    <mergeCell ref="L9:L10"/>
    <mergeCell ref="O9:O10"/>
    <mergeCell ref="P9:P10"/>
    <mergeCell ref="E9:E11"/>
    <mergeCell ref="B9:B15"/>
    <mergeCell ref="C9:C15"/>
    <mergeCell ref="N9:N10"/>
    <mergeCell ref="N3:U3"/>
    <mergeCell ref="R4:U4"/>
    <mergeCell ref="M9:M10"/>
    <mergeCell ref="L7:P7"/>
    <mergeCell ref="U9:U10"/>
    <mergeCell ref="Q7:T7"/>
    <mergeCell ref="U7:U8"/>
    <mergeCell ref="T9:T10"/>
    <mergeCell ref="Q9:Q10"/>
    <mergeCell ref="R9:R10"/>
  </mergeCells>
  <conditionalFormatting sqref="E9:H14">
    <cfRule type="expression" dxfId="37" priority="2" stopIfTrue="1">
      <formula>+IF((#REF!+#REF!+#REF!+#REF!+#REF!)&lt;&gt;$L9,1,0)</formula>
    </cfRule>
  </conditionalFormatting>
  <conditionalFormatting sqref="E15:H15">
    <cfRule type="expression" dxfId="36" priority="1" stopIfTrue="1">
      <formula>+IF((#REF!+#REF!+#REF!+#REF!+#REF!)&lt;&gt;$L15,1,0)</formula>
    </cfRule>
  </conditionalFormatting>
  <dataValidations count="3">
    <dataValidation type="list" allowBlank="1" showInputMessage="1" showErrorMessage="1" sqref="P9 P11:P15">
      <formula1>$Q$28:$Q$53</formula1>
    </dataValidation>
    <dataValidation type="list" allowBlank="1" showInputMessage="1" showErrorMessage="1" sqref="K11:K15 K9">
      <formula1>$I$22:$I$26</formula1>
    </dataValidation>
    <dataValidation type="list" allowBlank="1" showInputMessage="1" showErrorMessage="1" sqref="J9:J15">
      <formula1>$U$28:$U$36</formula1>
    </dataValidation>
  </dataValidations>
  <pageMargins left="0.7" right="0.7" top="0.75" bottom="0.75" header="0.3" footer="0.3"/>
  <pageSetup orientation="portrait" r:id="rId1"/>
  <ignoredErrors>
    <ignoredError sqref="Q9 Q11:Q15 R11" unlockedFormula="1"/>
    <ignoredError sqref="R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AA31"/>
  <sheetViews>
    <sheetView topLeftCell="R1" zoomScale="80" zoomScaleNormal="80" workbookViewId="0">
      <selection activeCell="W6" sqref="W6:Y6"/>
    </sheetView>
  </sheetViews>
  <sheetFormatPr baseColWidth="10" defaultRowHeight="15" x14ac:dyDescent="0.25"/>
  <cols>
    <col min="2" max="2" width="22.42578125" customWidth="1"/>
    <col min="3" max="3" width="19.28515625" customWidth="1"/>
    <col min="4" max="4" width="20.7109375" customWidth="1"/>
    <col min="5" max="6" width="6.42578125" customWidth="1"/>
    <col min="7" max="7" width="6.5703125" customWidth="1"/>
    <col min="8" max="8" width="6" customWidth="1"/>
    <col min="9" max="9" width="12.85546875" customWidth="1"/>
    <col min="11" max="11" width="20.28515625" customWidth="1"/>
    <col min="12" max="12" width="6" customWidth="1"/>
    <col min="13" max="13" width="22.140625" customWidth="1"/>
    <col min="14" max="14" width="15" customWidth="1"/>
    <col min="15" max="15" width="10.28515625" customWidth="1"/>
    <col min="16" max="16" width="17.28515625" customWidth="1"/>
    <col min="17" max="17" width="21.7109375" customWidth="1"/>
    <col min="18" max="18" width="20.5703125" customWidth="1"/>
    <col min="19" max="19" width="19.140625" customWidth="1"/>
    <col min="20" max="20" width="19" customWidth="1"/>
    <col min="21" max="21" width="21" customWidth="1"/>
    <col min="22" max="22" width="48.7109375" customWidth="1"/>
    <col min="23" max="24" width="60.7109375" customWidth="1"/>
    <col min="25" max="25" width="70.5703125" customWidth="1"/>
    <col min="26" max="26" width="33.28515625" customWidth="1"/>
  </cols>
  <sheetData>
    <row r="3" spans="2:27" ht="15.75" x14ac:dyDescent="0.25">
      <c r="N3" s="536" t="s">
        <v>0</v>
      </c>
      <c r="O3" s="536"/>
      <c r="P3" s="536"/>
      <c r="Q3" s="536"/>
      <c r="R3" s="536"/>
      <c r="S3" s="536"/>
      <c r="T3" s="536"/>
      <c r="U3" s="536"/>
    </row>
    <row r="4" spans="2:27" ht="18" x14ac:dyDescent="0.25">
      <c r="R4" s="715" t="s">
        <v>356</v>
      </c>
      <c r="S4" s="716"/>
      <c r="T4" s="716"/>
      <c r="U4" s="716"/>
    </row>
    <row r="5" spans="2:27" ht="16.5" x14ac:dyDescent="0.25">
      <c r="B5" s="523" t="s">
        <v>202</v>
      </c>
      <c r="C5" s="523"/>
      <c r="D5" s="523"/>
      <c r="E5" s="523"/>
      <c r="F5" s="523"/>
      <c r="G5" s="523"/>
      <c r="H5" s="523"/>
      <c r="I5" s="523"/>
      <c r="J5" s="523"/>
      <c r="K5" s="523"/>
      <c r="L5" s="523"/>
      <c r="M5" s="523"/>
      <c r="N5" s="523"/>
      <c r="O5" s="523"/>
      <c r="P5" s="523"/>
      <c r="Q5" s="523"/>
      <c r="R5" s="523"/>
      <c r="S5" s="523"/>
      <c r="T5" s="523"/>
      <c r="U5" s="523"/>
    </row>
    <row r="6" spans="2:27" ht="16.5" x14ac:dyDescent="0.25">
      <c r="B6" s="523" t="s">
        <v>650</v>
      </c>
      <c r="C6" s="523"/>
      <c r="D6" s="523"/>
      <c r="E6" s="523"/>
      <c r="F6" s="523"/>
      <c r="G6" s="523"/>
      <c r="H6" s="523"/>
      <c r="I6" s="523"/>
      <c r="J6" s="523"/>
      <c r="K6" s="523"/>
      <c r="L6" s="523"/>
      <c r="M6" s="523"/>
      <c r="N6" s="523"/>
      <c r="O6" s="523"/>
      <c r="P6" s="523"/>
      <c r="Q6" s="523"/>
      <c r="R6" s="523"/>
      <c r="S6" s="523"/>
      <c r="T6" s="523"/>
      <c r="U6" s="523"/>
      <c r="W6" s="708" t="s">
        <v>413</v>
      </c>
      <c r="X6" s="708"/>
      <c r="Y6" s="708"/>
    </row>
    <row r="7" spans="2:27" ht="15.75" x14ac:dyDescent="0.25">
      <c r="B7" s="517" t="s">
        <v>3</v>
      </c>
      <c r="C7" s="517"/>
      <c r="D7" s="517"/>
      <c r="E7" s="517"/>
      <c r="F7" s="517"/>
      <c r="G7" s="517"/>
      <c r="H7" s="517"/>
      <c r="I7" s="517"/>
      <c r="J7" s="517"/>
      <c r="K7" s="276"/>
      <c r="L7" s="517" t="s">
        <v>72</v>
      </c>
      <c r="M7" s="517"/>
      <c r="N7" s="517"/>
      <c r="O7" s="517"/>
      <c r="P7" s="517"/>
      <c r="Q7" s="511" t="s">
        <v>4</v>
      </c>
      <c r="R7" s="511"/>
      <c r="S7" s="511"/>
      <c r="T7" s="511"/>
      <c r="U7" s="522" t="s">
        <v>40</v>
      </c>
      <c r="W7" s="556" t="s">
        <v>410</v>
      </c>
      <c r="X7" s="557"/>
      <c r="Y7" s="738" t="s">
        <v>442</v>
      </c>
    </row>
    <row r="8" spans="2:27" ht="41.25" customHeight="1" x14ac:dyDescent="0.25">
      <c r="B8" s="274" t="s">
        <v>51</v>
      </c>
      <c r="C8" s="274" t="s">
        <v>12</v>
      </c>
      <c r="D8" s="274" t="s">
        <v>52</v>
      </c>
      <c r="E8" s="274" t="s">
        <v>24</v>
      </c>
      <c r="F8" s="274" t="s">
        <v>25</v>
      </c>
      <c r="G8" s="274" t="s">
        <v>26</v>
      </c>
      <c r="H8" s="274" t="s">
        <v>27</v>
      </c>
      <c r="I8" s="274" t="s">
        <v>28</v>
      </c>
      <c r="J8" s="274" t="s">
        <v>29</v>
      </c>
      <c r="K8" s="274" t="s">
        <v>47</v>
      </c>
      <c r="L8" s="280" t="s">
        <v>14</v>
      </c>
      <c r="M8" s="280" t="s">
        <v>79</v>
      </c>
      <c r="N8" s="280" t="s">
        <v>15</v>
      </c>
      <c r="O8" s="280" t="s">
        <v>16</v>
      </c>
      <c r="P8" s="274" t="s">
        <v>48</v>
      </c>
      <c r="Q8" s="280" t="s">
        <v>17</v>
      </c>
      <c r="R8" s="280" t="s">
        <v>18</v>
      </c>
      <c r="S8" s="280" t="s">
        <v>19</v>
      </c>
      <c r="T8" s="280" t="s">
        <v>361</v>
      </c>
      <c r="U8" s="522"/>
      <c r="V8" s="357" t="s">
        <v>423</v>
      </c>
      <c r="W8" s="339" t="s">
        <v>408</v>
      </c>
      <c r="X8" s="339" t="s">
        <v>409</v>
      </c>
      <c r="Y8" s="739"/>
    </row>
    <row r="9" spans="2:27" ht="118.5" customHeight="1" x14ac:dyDescent="0.25">
      <c r="B9" s="520" t="s">
        <v>222</v>
      </c>
      <c r="C9" s="580" t="s">
        <v>223</v>
      </c>
      <c r="D9" s="733" t="s">
        <v>224</v>
      </c>
      <c r="E9" s="730">
        <v>0</v>
      </c>
      <c r="F9" s="730">
        <v>0</v>
      </c>
      <c r="G9" s="730">
        <v>100</v>
      </c>
      <c r="H9" s="730">
        <v>430</v>
      </c>
      <c r="I9" s="750">
        <f t="shared" ref="I9:I14" si="0">SUM(E9:H9)</f>
        <v>530</v>
      </c>
      <c r="J9" s="733" t="s">
        <v>215</v>
      </c>
      <c r="K9" s="713" t="s">
        <v>30</v>
      </c>
      <c r="L9" s="670">
        <v>1</v>
      </c>
      <c r="M9" s="753" t="s">
        <v>225</v>
      </c>
      <c r="N9" s="504" t="s">
        <v>226</v>
      </c>
      <c r="O9" s="740">
        <v>0</v>
      </c>
      <c r="P9" s="492" t="s">
        <v>227</v>
      </c>
      <c r="Q9" s="742">
        <f>R9+S9+T9</f>
        <v>0</v>
      </c>
      <c r="R9" s="744">
        <v>0</v>
      </c>
      <c r="S9" s="744">
        <v>0</v>
      </c>
      <c r="T9" s="746">
        <v>0</v>
      </c>
      <c r="U9" s="748">
        <v>0</v>
      </c>
      <c r="V9" s="539" t="s">
        <v>476</v>
      </c>
      <c r="W9" s="550" t="s">
        <v>670</v>
      </c>
      <c r="X9" s="550" t="s">
        <v>529</v>
      </c>
      <c r="Y9" s="550" t="s">
        <v>671</v>
      </c>
      <c r="Z9" s="543" t="s">
        <v>530</v>
      </c>
    </row>
    <row r="10" spans="2:27" ht="109.5" customHeight="1" x14ac:dyDescent="0.25">
      <c r="B10" s="520"/>
      <c r="C10" s="580"/>
      <c r="D10" s="734"/>
      <c r="E10" s="731"/>
      <c r="F10" s="731"/>
      <c r="G10" s="731"/>
      <c r="H10" s="731"/>
      <c r="I10" s="751"/>
      <c r="J10" s="734"/>
      <c r="K10" s="714"/>
      <c r="L10" s="672"/>
      <c r="M10" s="754"/>
      <c r="N10" s="506"/>
      <c r="O10" s="741"/>
      <c r="P10" s="495"/>
      <c r="Q10" s="743"/>
      <c r="R10" s="745"/>
      <c r="S10" s="745"/>
      <c r="T10" s="747"/>
      <c r="U10" s="749"/>
      <c r="V10" s="539"/>
      <c r="W10" s="550"/>
      <c r="X10" s="550"/>
      <c r="Y10" s="593"/>
      <c r="Z10" s="543"/>
    </row>
    <row r="11" spans="2:27" ht="409.5" customHeight="1" x14ac:dyDescent="0.25">
      <c r="B11" s="520"/>
      <c r="C11" s="580"/>
      <c r="D11" s="735"/>
      <c r="E11" s="732"/>
      <c r="F11" s="732"/>
      <c r="G11" s="732"/>
      <c r="H11" s="732"/>
      <c r="I11" s="752"/>
      <c r="J11" s="735"/>
      <c r="K11" s="270" t="s">
        <v>30</v>
      </c>
      <c r="L11" s="308">
        <v>2</v>
      </c>
      <c r="M11" s="352" t="s">
        <v>228</v>
      </c>
      <c r="N11" s="270" t="s">
        <v>229</v>
      </c>
      <c r="O11" s="131">
        <v>0.8</v>
      </c>
      <c r="P11" s="270" t="s">
        <v>125</v>
      </c>
      <c r="Q11" s="353">
        <f>SUM(R11:T11)</f>
        <v>1814888210</v>
      </c>
      <c r="R11" s="354">
        <f>1760000000+150000000-75111790-159964668-370000000</f>
        <v>1304923542</v>
      </c>
      <c r="S11" s="354">
        <v>350000000</v>
      </c>
      <c r="T11" s="355">
        <v>159964668</v>
      </c>
      <c r="U11" s="356">
        <v>4671902628</v>
      </c>
      <c r="V11" s="382" t="s">
        <v>477</v>
      </c>
      <c r="W11" s="359" t="s">
        <v>672</v>
      </c>
      <c r="X11" s="384" t="s">
        <v>696</v>
      </c>
      <c r="Y11" s="359" t="s">
        <v>695</v>
      </c>
      <c r="Z11" s="380" t="s">
        <v>694</v>
      </c>
    </row>
    <row r="12" spans="2:27" ht="131.25" customHeight="1" x14ac:dyDescent="0.25">
      <c r="B12" s="520"/>
      <c r="C12" s="580"/>
      <c r="D12" s="270" t="s">
        <v>230</v>
      </c>
      <c r="E12" s="271">
        <v>5</v>
      </c>
      <c r="F12" s="271">
        <v>5</v>
      </c>
      <c r="G12" s="271">
        <v>5</v>
      </c>
      <c r="H12" s="271">
        <v>5</v>
      </c>
      <c r="I12" s="273">
        <f t="shared" si="0"/>
        <v>20</v>
      </c>
      <c r="J12" s="270" t="s">
        <v>215</v>
      </c>
      <c r="K12" s="270" t="s">
        <v>30</v>
      </c>
      <c r="L12" s="273">
        <v>3</v>
      </c>
      <c r="M12" s="270" t="s">
        <v>231</v>
      </c>
      <c r="N12" s="270" t="s">
        <v>232</v>
      </c>
      <c r="O12" s="137">
        <v>5</v>
      </c>
      <c r="P12" s="270" t="s">
        <v>227</v>
      </c>
      <c r="Q12" s="353">
        <f>R12+S12+T12</f>
        <v>0</v>
      </c>
      <c r="R12" s="354">
        <v>0</v>
      </c>
      <c r="S12" s="354">
        <v>0</v>
      </c>
      <c r="T12" s="355">
        <v>0</v>
      </c>
      <c r="U12" s="356">
        <v>0</v>
      </c>
      <c r="V12" s="382" t="s">
        <v>673</v>
      </c>
      <c r="W12" s="359" t="s">
        <v>674</v>
      </c>
      <c r="X12" s="379" t="s">
        <v>522</v>
      </c>
      <c r="Y12" s="368" t="s">
        <v>675</v>
      </c>
      <c r="Z12" s="380" t="s">
        <v>531</v>
      </c>
    </row>
    <row r="13" spans="2:27" ht="165.75" x14ac:dyDescent="0.25">
      <c r="B13" s="520"/>
      <c r="C13" s="580"/>
      <c r="D13" s="270" t="s">
        <v>233</v>
      </c>
      <c r="E13" s="271">
        <v>0</v>
      </c>
      <c r="F13" s="271">
        <v>15</v>
      </c>
      <c r="G13" s="271">
        <v>15</v>
      </c>
      <c r="H13" s="271">
        <v>10</v>
      </c>
      <c r="I13" s="273">
        <f t="shared" si="0"/>
        <v>40</v>
      </c>
      <c r="J13" s="270" t="s">
        <v>215</v>
      </c>
      <c r="K13" s="270" t="s">
        <v>30</v>
      </c>
      <c r="L13" s="308">
        <v>4</v>
      </c>
      <c r="M13" s="270" t="s">
        <v>234</v>
      </c>
      <c r="N13" s="270" t="s">
        <v>233</v>
      </c>
      <c r="O13" s="137">
        <v>15</v>
      </c>
      <c r="P13" s="270" t="s">
        <v>227</v>
      </c>
      <c r="Q13" s="353">
        <f>R13+S13+T13</f>
        <v>260000000</v>
      </c>
      <c r="R13" s="354">
        <v>0</v>
      </c>
      <c r="S13" s="354">
        <v>0</v>
      </c>
      <c r="T13" s="355">
        <v>260000000</v>
      </c>
      <c r="U13" s="356">
        <v>0</v>
      </c>
      <c r="V13" s="382" t="s">
        <v>478</v>
      </c>
      <c r="W13" s="368" t="s">
        <v>676</v>
      </c>
      <c r="X13" s="368" t="s">
        <v>480</v>
      </c>
      <c r="Y13" s="368" t="s">
        <v>677</v>
      </c>
      <c r="Z13" s="380" t="s">
        <v>678</v>
      </c>
      <c r="AA13" s="385"/>
    </row>
    <row r="14" spans="2:27" ht="162.75" customHeight="1" x14ac:dyDescent="0.25">
      <c r="B14" s="520"/>
      <c r="C14" s="580"/>
      <c r="D14" s="270" t="s">
        <v>235</v>
      </c>
      <c r="E14" s="69">
        <v>0</v>
      </c>
      <c r="F14" s="69">
        <v>0.35</v>
      </c>
      <c r="G14" s="69">
        <v>0.35</v>
      </c>
      <c r="H14" s="69">
        <v>0.3</v>
      </c>
      <c r="I14" s="131">
        <f t="shared" si="0"/>
        <v>1</v>
      </c>
      <c r="J14" s="270" t="s">
        <v>215</v>
      </c>
      <c r="K14" s="270" t="s">
        <v>30</v>
      </c>
      <c r="L14" s="273">
        <v>5</v>
      </c>
      <c r="M14" s="270" t="s">
        <v>236</v>
      </c>
      <c r="N14" s="270" t="s">
        <v>237</v>
      </c>
      <c r="O14" s="131">
        <v>0.35</v>
      </c>
      <c r="P14" s="270" t="s">
        <v>125</v>
      </c>
      <c r="Q14" s="353">
        <f>R14+S14+T14</f>
        <v>80000000</v>
      </c>
      <c r="R14" s="354">
        <v>0</v>
      </c>
      <c r="S14" s="354">
        <v>0</v>
      </c>
      <c r="T14" s="355">
        <v>80000000</v>
      </c>
      <c r="U14" s="356">
        <v>0</v>
      </c>
      <c r="V14" s="382" t="s">
        <v>479</v>
      </c>
      <c r="W14" s="368" t="s">
        <v>679</v>
      </c>
      <c r="X14" s="368" t="s">
        <v>481</v>
      </c>
      <c r="Y14" s="368" t="s">
        <v>681</v>
      </c>
      <c r="Z14" s="380" t="s">
        <v>680</v>
      </c>
    </row>
    <row r="15" spans="2:27" ht="155.25" customHeight="1" x14ac:dyDescent="0.25">
      <c r="B15" s="520"/>
      <c r="C15" s="580"/>
      <c r="D15" s="270" t="s">
        <v>238</v>
      </c>
      <c r="E15" s="271">
        <v>0</v>
      </c>
      <c r="F15" s="271">
        <v>1</v>
      </c>
      <c r="G15" s="271">
        <v>0</v>
      </c>
      <c r="H15" s="271">
        <v>0</v>
      </c>
      <c r="I15" s="273">
        <v>1</v>
      </c>
      <c r="J15" s="270" t="s">
        <v>215</v>
      </c>
      <c r="K15" s="270" t="s">
        <v>30</v>
      </c>
      <c r="L15" s="273">
        <v>6</v>
      </c>
      <c r="M15" s="270" t="s">
        <v>239</v>
      </c>
      <c r="N15" s="270" t="s">
        <v>240</v>
      </c>
      <c r="O15" s="137">
        <v>1</v>
      </c>
      <c r="P15" s="270" t="s">
        <v>125</v>
      </c>
      <c r="Q15" s="353">
        <f>R15+S15+T15</f>
        <v>0</v>
      </c>
      <c r="R15" s="354">
        <v>0</v>
      </c>
      <c r="S15" s="354">
        <v>0</v>
      </c>
      <c r="T15" s="355">
        <v>0</v>
      </c>
      <c r="U15" s="356">
        <v>0</v>
      </c>
      <c r="V15" s="382" t="s">
        <v>482</v>
      </c>
      <c r="W15" s="368" t="s">
        <v>683</v>
      </c>
      <c r="X15" s="379" t="s">
        <v>522</v>
      </c>
      <c r="Y15" s="368" t="s">
        <v>685</v>
      </c>
      <c r="Z15" s="380" t="s">
        <v>684</v>
      </c>
    </row>
    <row r="16" spans="2:27" ht="15.75" x14ac:dyDescent="0.25">
      <c r="B16" s="635" t="s">
        <v>53</v>
      </c>
      <c r="C16" s="635"/>
      <c r="D16" s="635"/>
      <c r="E16" s="635"/>
      <c r="F16" s="635"/>
      <c r="G16" s="635"/>
      <c r="H16" s="635"/>
      <c r="I16" s="635"/>
      <c r="J16" s="635"/>
      <c r="K16" s="635"/>
      <c r="L16" s="635"/>
      <c r="M16" s="635"/>
      <c r="N16" s="635"/>
      <c r="O16" s="635"/>
      <c r="P16" s="635"/>
      <c r="Q16" s="89">
        <f>SUBTOTAL(9,Q8:Q15)</f>
        <v>2154888210</v>
      </c>
      <c r="R16" s="163">
        <f>R15+R14+R13+R12+R11+R9</f>
        <v>1304923542</v>
      </c>
      <c r="S16" s="163">
        <f>SUBTOTAL(9,S8:S15)</f>
        <v>350000000</v>
      </c>
      <c r="T16" s="163">
        <f>SUBTOTAL(9,T8:T15)</f>
        <v>499964668</v>
      </c>
      <c r="U16" s="163">
        <f>SUBTOTAL(9,U8:U15)</f>
        <v>4671902628</v>
      </c>
    </row>
    <row r="17" spans="2:25" ht="111.75" customHeight="1" x14ac:dyDescent="0.25">
      <c r="B17" s="562" t="s">
        <v>682</v>
      </c>
      <c r="C17" s="562"/>
      <c r="D17" s="562"/>
      <c r="E17" s="562"/>
      <c r="F17" s="562"/>
      <c r="G17" s="562"/>
      <c r="H17" s="562"/>
      <c r="I17" s="562"/>
      <c r="J17" s="562"/>
      <c r="K17" s="562"/>
      <c r="L17" s="562"/>
      <c r="M17" s="562"/>
      <c r="N17" s="562"/>
      <c r="O17" s="562"/>
      <c r="P17" s="562"/>
      <c r="Q17" s="562"/>
      <c r="R17" s="562"/>
      <c r="S17" s="562"/>
      <c r="T17" s="562"/>
      <c r="U17" s="562"/>
    </row>
    <row r="18" spans="2:25" ht="60.75" customHeight="1" x14ac:dyDescent="0.25">
      <c r="B18" s="312" t="s">
        <v>394</v>
      </c>
      <c r="U18" s="316" t="s">
        <v>397</v>
      </c>
      <c r="W18" s="316"/>
    </row>
    <row r="19" spans="2:25" x14ac:dyDescent="0.25">
      <c r="R19" s="185"/>
      <c r="Y19" s="186"/>
    </row>
    <row r="20" spans="2:25" x14ac:dyDescent="0.25">
      <c r="R20" s="185"/>
      <c r="S20" s="186"/>
    </row>
    <row r="21" spans="2:25" x14ac:dyDescent="0.25">
      <c r="R21" s="185"/>
    </row>
    <row r="22" spans="2:25" x14ac:dyDescent="0.25">
      <c r="R22" s="185"/>
    </row>
    <row r="23" spans="2:25" x14ac:dyDescent="0.25">
      <c r="R23" s="185"/>
      <c r="S23" s="186"/>
    </row>
    <row r="24" spans="2:25" x14ac:dyDescent="0.25">
      <c r="R24" s="185"/>
    </row>
    <row r="25" spans="2:25" x14ac:dyDescent="0.25">
      <c r="R25" s="185"/>
    </row>
    <row r="26" spans="2:25" x14ac:dyDescent="0.25">
      <c r="R26" s="185"/>
    </row>
    <row r="27" spans="2:25" x14ac:dyDescent="0.25">
      <c r="R27" s="185"/>
    </row>
    <row r="28" spans="2:25" x14ac:dyDescent="0.25">
      <c r="R28" s="185"/>
    </row>
    <row r="29" spans="2:25" x14ac:dyDescent="0.25">
      <c r="R29" s="185"/>
    </row>
    <row r="30" spans="2:25" x14ac:dyDescent="0.25">
      <c r="R30" s="185"/>
    </row>
    <row r="31" spans="2:25" x14ac:dyDescent="0.25">
      <c r="R31" s="185"/>
    </row>
  </sheetData>
  <mergeCells count="38">
    <mergeCell ref="N3:U3"/>
    <mergeCell ref="R4:U4"/>
    <mergeCell ref="B5:U5"/>
    <mergeCell ref="B6:U6"/>
    <mergeCell ref="B7:J7"/>
    <mergeCell ref="L7:P7"/>
    <mergeCell ref="Q7:T7"/>
    <mergeCell ref="U7:U8"/>
    <mergeCell ref="G9:G11"/>
    <mergeCell ref="T9:T10"/>
    <mergeCell ref="U9:U10"/>
    <mergeCell ref="B16:P16"/>
    <mergeCell ref="H9:H11"/>
    <mergeCell ref="I9:I11"/>
    <mergeCell ref="J9:J11"/>
    <mergeCell ref="K9:K10"/>
    <mergeCell ref="L9:L10"/>
    <mergeCell ref="M9:M10"/>
    <mergeCell ref="B9:B15"/>
    <mergeCell ref="C9:C15"/>
    <mergeCell ref="D9:D11"/>
    <mergeCell ref="E9:E11"/>
    <mergeCell ref="W7:X7"/>
    <mergeCell ref="Y7:Y8"/>
    <mergeCell ref="Z9:Z10"/>
    <mergeCell ref="B17:U17"/>
    <mergeCell ref="W6:Y6"/>
    <mergeCell ref="N9:N10"/>
    <mergeCell ref="O9:O10"/>
    <mergeCell ref="P9:P10"/>
    <mergeCell ref="Q9:Q10"/>
    <mergeCell ref="R9:R10"/>
    <mergeCell ref="S9:S10"/>
    <mergeCell ref="W9:W10"/>
    <mergeCell ref="X9:X10"/>
    <mergeCell ref="Y9:Y10"/>
    <mergeCell ref="V9:V10"/>
    <mergeCell ref="F9:F11"/>
  </mergeCells>
  <conditionalFormatting sqref="E9:H14">
    <cfRule type="expression" dxfId="35" priority="2" stopIfTrue="1">
      <formula>+IF((#REF!+#REF!+#REF!+#REF!+#REF!)&lt;&gt;$L9,1,0)</formula>
    </cfRule>
  </conditionalFormatting>
  <conditionalFormatting sqref="E15:H15">
    <cfRule type="expression" dxfId="34" priority="1" stopIfTrue="1">
      <formula>+IF((#REF!+#REF!+#REF!+#REF!+#REF!)&lt;&gt;$L15,1,0)</formula>
    </cfRule>
  </conditionalFormatting>
  <dataValidations count="3">
    <dataValidation type="list" allowBlank="1" showInputMessage="1" showErrorMessage="1" sqref="J9:J15">
      <formula1>$U$27:$U$35</formula1>
    </dataValidation>
    <dataValidation type="list" allowBlank="1" showInputMessage="1" showErrorMessage="1" sqref="K11:K15 K9">
      <formula1>$I$21:$I$25</formula1>
    </dataValidation>
    <dataValidation type="list" allowBlank="1" showInputMessage="1" showErrorMessage="1" sqref="P9 P11:P15">
      <formula1>$Q$27:$Q$52</formula1>
    </dataValidation>
  </dataValidation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17"/>
  <sheetViews>
    <sheetView topLeftCell="A3" zoomScale="90" zoomScaleNormal="90" workbookViewId="0">
      <selection activeCell="Y8" sqref="Y8:Y9"/>
    </sheetView>
  </sheetViews>
  <sheetFormatPr baseColWidth="10" defaultRowHeight="15" x14ac:dyDescent="0.25"/>
  <cols>
    <col min="3" max="3" width="21.28515625" customWidth="1"/>
    <col min="4" max="4" width="15.85546875" customWidth="1"/>
    <col min="5" max="5" width="4.85546875" customWidth="1"/>
    <col min="6" max="6" width="5.5703125" customWidth="1"/>
    <col min="7" max="7" width="5.140625" customWidth="1"/>
    <col min="8" max="8" width="5.5703125" customWidth="1"/>
    <col min="9" max="9" width="9.28515625" customWidth="1"/>
    <col min="11" max="11" width="19.28515625" customWidth="1"/>
    <col min="12" max="12" width="5.140625" customWidth="1"/>
    <col min="13" max="13" width="20.140625" customWidth="1"/>
    <col min="14" max="14" width="17.5703125" customWidth="1"/>
    <col min="15" max="15" width="8.85546875" customWidth="1"/>
    <col min="16" max="16" width="20.42578125" customWidth="1"/>
    <col min="17" max="17" width="19.7109375" customWidth="1"/>
    <col min="18" max="18" width="19.28515625" customWidth="1"/>
    <col min="19" max="19" width="16.5703125" customWidth="1"/>
    <col min="20" max="20" width="20.85546875" customWidth="1"/>
    <col min="21" max="21" width="20" customWidth="1"/>
  </cols>
  <sheetData>
    <row r="2" spans="2:21" ht="15.75" x14ac:dyDescent="0.25">
      <c r="M2" s="584" t="s">
        <v>0</v>
      </c>
      <c r="N2" s="584"/>
      <c r="O2" s="584"/>
      <c r="P2" s="584"/>
      <c r="Q2" s="584"/>
      <c r="R2" s="584"/>
      <c r="S2" s="584"/>
      <c r="T2" s="584"/>
      <c r="U2" s="584"/>
    </row>
    <row r="3" spans="2:21" ht="18" x14ac:dyDescent="0.25">
      <c r="M3" s="585" t="s">
        <v>310</v>
      </c>
      <c r="N3" s="585"/>
      <c r="O3" s="585"/>
      <c r="P3" s="585"/>
      <c r="Q3" s="585"/>
      <c r="R3" s="585"/>
      <c r="S3" s="585"/>
      <c r="T3" s="585"/>
      <c r="U3" s="585"/>
    </row>
    <row r="5" spans="2:21" ht="16.5" x14ac:dyDescent="0.25">
      <c r="B5" s="523" t="s">
        <v>23</v>
      </c>
      <c r="C5" s="523"/>
      <c r="D5" s="523"/>
      <c r="E5" s="523"/>
      <c r="F5" s="523"/>
      <c r="G5" s="523"/>
      <c r="H5" s="523"/>
      <c r="I5" s="523"/>
      <c r="J5" s="523"/>
      <c r="K5" s="523"/>
      <c r="L5" s="523"/>
      <c r="M5" s="523"/>
      <c r="N5" s="523"/>
      <c r="O5" s="523"/>
      <c r="P5" s="523"/>
      <c r="Q5" s="523"/>
      <c r="R5" s="523"/>
      <c r="S5" s="523"/>
      <c r="T5" s="523"/>
      <c r="U5" s="523"/>
    </row>
    <row r="6" spans="2:21" ht="16.5" x14ac:dyDescent="0.25">
      <c r="B6" s="523" t="s">
        <v>154</v>
      </c>
      <c r="C6" s="523"/>
      <c r="D6" s="523"/>
      <c r="E6" s="523"/>
      <c r="F6" s="523"/>
      <c r="G6" s="523"/>
      <c r="H6" s="523"/>
      <c r="I6" s="523"/>
      <c r="J6" s="523"/>
      <c r="K6" s="523"/>
      <c r="L6" s="523"/>
      <c r="M6" s="523"/>
      <c r="N6" s="523"/>
      <c r="O6" s="523"/>
      <c r="P6" s="523"/>
      <c r="Q6" s="523"/>
      <c r="R6" s="523"/>
      <c r="S6" s="523"/>
      <c r="T6" s="523"/>
      <c r="U6" s="523"/>
    </row>
    <row r="7" spans="2:21" ht="16.5" x14ac:dyDescent="0.25">
      <c r="B7" s="523" t="s">
        <v>155</v>
      </c>
      <c r="C7" s="523"/>
      <c r="D7" s="523"/>
      <c r="E7" s="523"/>
      <c r="F7" s="523"/>
      <c r="G7" s="523"/>
      <c r="H7" s="523"/>
      <c r="I7" s="523"/>
      <c r="J7" s="523"/>
      <c r="K7" s="523"/>
      <c r="L7" s="523"/>
      <c r="M7" s="523"/>
      <c r="N7" s="523"/>
      <c r="O7" s="523"/>
      <c r="P7" s="523"/>
      <c r="Q7" s="523"/>
      <c r="R7" s="523"/>
      <c r="S7" s="523"/>
      <c r="T7" s="523"/>
      <c r="U7" s="523"/>
    </row>
    <row r="8" spans="2:21" x14ac:dyDescent="0.25">
      <c r="B8" s="517" t="s">
        <v>3</v>
      </c>
      <c r="C8" s="517"/>
      <c r="D8" s="517"/>
      <c r="E8" s="517"/>
      <c r="F8" s="517"/>
      <c r="G8" s="517"/>
      <c r="H8" s="517"/>
      <c r="I8" s="517"/>
      <c r="J8" s="517"/>
      <c r="K8" s="84"/>
      <c r="L8" s="517" t="s">
        <v>72</v>
      </c>
      <c r="M8" s="517"/>
      <c r="N8" s="517"/>
      <c r="O8" s="517"/>
      <c r="P8" s="517"/>
      <c r="Q8" s="511" t="s">
        <v>4</v>
      </c>
      <c r="R8" s="511"/>
      <c r="S8" s="511"/>
      <c r="T8" s="511"/>
      <c r="U8" s="522" t="s">
        <v>40</v>
      </c>
    </row>
    <row r="9" spans="2:21" ht="48" customHeight="1" x14ac:dyDescent="0.25">
      <c r="B9" s="85" t="s">
        <v>51</v>
      </c>
      <c r="C9" s="85" t="s">
        <v>12</v>
      </c>
      <c r="D9" s="85" t="s">
        <v>52</v>
      </c>
      <c r="E9" s="85" t="s">
        <v>24</v>
      </c>
      <c r="F9" s="85" t="s">
        <v>25</v>
      </c>
      <c r="G9" s="85" t="s">
        <v>26</v>
      </c>
      <c r="H9" s="85" t="s">
        <v>27</v>
      </c>
      <c r="I9" s="85" t="s">
        <v>28</v>
      </c>
      <c r="J9" s="85" t="s">
        <v>29</v>
      </c>
      <c r="K9" s="85" t="s">
        <v>47</v>
      </c>
      <c r="L9" s="86" t="s">
        <v>14</v>
      </c>
      <c r="M9" s="86" t="s">
        <v>79</v>
      </c>
      <c r="N9" s="86" t="s">
        <v>15</v>
      </c>
      <c r="O9" s="86" t="s">
        <v>16</v>
      </c>
      <c r="P9" s="85" t="s">
        <v>48</v>
      </c>
      <c r="Q9" s="86" t="s">
        <v>17</v>
      </c>
      <c r="R9" s="86" t="s">
        <v>18</v>
      </c>
      <c r="S9" s="86" t="s">
        <v>19</v>
      </c>
      <c r="T9" s="198" t="s">
        <v>361</v>
      </c>
      <c r="U9" s="522"/>
    </row>
    <row r="10" spans="2:21" ht="67.5" customHeight="1" x14ac:dyDescent="0.25">
      <c r="B10" s="519" t="s">
        <v>292</v>
      </c>
      <c r="C10" s="59" t="s">
        <v>293</v>
      </c>
      <c r="D10" s="59" t="s">
        <v>294</v>
      </c>
      <c r="E10" s="69">
        <v>0.3</v>
      </c>
      <c r="F10" s="69">
        <v>0.2</v>
      </c>
      <c r="G10" s="69">
        <v>0.3</v>
      </c>
      <c r="H10" s="69">
        <v>0.2</v>
      </c>
      <c r="I10" s="70">
        <f>SUM(E10:H10)</f>
        <v>1</v>
      </c>
      <c r="J10" s="59" t="s">
        <v>302</v>
      </c>
      <c r="K10" s="59" t="s">
        <v>118</v>
      </c>
      <c r="L10" s="307">
        <v>1</v>
      </c>
      <c r="M10" s="55" t="s">
        <v>303</v>
      </c>
      <c r="N10" s="59" t="s">
        <v>376</v>
      </c>
      <c r="O10" s="70">
        <v>0.2</v>
      </c>
      <c r="P10" s="59" t="s">
        <v>309</v>
      </c>
      <c r="Q10" s="143">
        <f>SUM(R10:T10)</f>
        <v>1570080000</v>
      </c>
      <c r="R10" s="83">
        <f>1570080000-172080000</f>
        <v>1398000000</v>
      </c>
      <c r="S10" s="83">
        <v>0</v>
      </c>
      <c r="T10" s="83">
        <v>172080000</v>
      </c>
      <c r="U10" s="83">
        <v>0</v>
      </c>
    </row>
    <row r="11" spans="2:21" ht="62.25" customHeight="1" x14ac:dyDescent="0.25">
      <c r="B11" s="519"/>
      <c r="C11" s="59" t="s">
        <v>295</v>
      </c>
      <c r="D11" s="59" t="s">
        <v>294</v>
      </c>
      <c r="E11" s="69">
        <v>0.25</v>
      </c>
      <c r="F11" s="69">
        <v>0.25</v>
      </c>
      <c r="G11" s="69">
        <v>0.25</v>
      </c>
      <c r="H11" s="69">
        <v>0.25</v>
      </c>
      <c r="I11" s="70">
        <f>SUM(E11:H11)</f>
        <v>1</v>
      </c>
      <c r="J11" s="59" t="s">
        <v>302</v>
      </c>
      <c r="K11" s="59" t="s">
        <v>168</v>
      </c>
      <c r="L11" s="58">
        <v>2</v>
      </c>
      <c r="M11" s="55" t="s">
        <v>304</v>
      </c>
      <c r="N11" s="59" t="s">
        <v>376</v>
      </c>
      <c r="O11" s="70">
        <v>0.25</v>
      </c>
      <c r="P11" s="59" t="s">
        <v>309</v>
      </c>
      <c r="Q11" s="143">
        <f>SUM(R11:T11)</f>
        <v>0</v>
      </c>
      <c r="R11" s="83">
        <v>0</v>
      </c>
      <c r="S11" s="83">
        <v>0</v>
      </c>
      <c r="T11" s="83">
        <v>0</v>
      </c>
      <c r="U11" s="83">
        <v>42230000</v>
      </c>
    </row>
    <row r="12" spans="2:21" ht="87" customHeight="1" x14ac:dyDescent="0.25">
      <c r="B12" s="519"/>
      <c r="C12" s="59" t="s">
        <v>296</v>
      </c>
      <c r="D12" s="59" t="s">
        <v>297</v>
      </c>
      <c r="E12" s="69">
        <v>0.99</v>
      </c>
      <c r="F12" s="69">
        <v>0.99</v>
      </c>
      <c r="G12" s="69">
        <v>0.99</v>
      </c>
      <c r="H12" s="69">
        <v>0.99</v>
      </c>
      <c r="I12" s="70">
        <v>0.99</v>
      </c>
      <c r="J12" s="59" t="s">
        <v>302</v>
      </c>
      <c r="K12" s="59" t="s">
        <v>30</v>
      </c>
      <c r="L12" s="307">
        <v>3</v>
      </c>
      <c r="M12" s="55" t="s">
        <v>305</v>
      </c>
      <c r="N12" s="59" t="s">
        <v>297</v>
      </c>
      <c r="O12" s="70">
        <v>0.99</v>
      </c>
      <c r="P12" s="59" t="s">
        <v>309</v>
      </c>
      <c r="Q12" s="143">
        <f>SUM(R12:T12)</f>
        <v>2234585570</v>
      </c>
      <c r="R12" s="83">
        <f>2449920000-121334430-1377920000-94000000</f>
        <v>856665570</v>
      </c>
      <c r="S12" s="83">
        <v>0</v>
      </c>
      <c r="T12" s="83">
        <v>1377920000</v>
      </c>
      <c r="U12" s="83">
        <f>3774612868-2266887.65</f>
        <v>3772345980.3499999</v>
      </c>
    </row>
    <row r="13" spans="2:21" ht="57" customHeight="1" x14ac:dyDescent="0.25">
      <c r="B13" s="519"/>
      <c r="C13" s="59" t="s">
        <v>298</v>
      </c>
      <c r="D13" s="59" t="s">
        <v>299</v>
      </c>
      <c r="E13" s="69">
        <v>0.4</v>
      </c>
      <c r="F13" s="69">
        <v>0.2</v>
      </c>
      <c r="G13" s="69">
        <v>0.2</v>
      </c>
      <c r="H13" s="69">
        <v>0.2</v>
      </c>
      <c r="I13" s="70">
        <f>SUM(E13:H13)</f>
        <v>1</v>
      </c>
      <c r="J13" s="59" t="s">
        <v>302</v>
      </c>
      <c r="K13" s="59" t="s">
        <v>118</v>
      </c>
      <c r="L13" s="58">
        <v>4</v>
      </c>
      <c r="M13" s="55" t="s">
        <v>306</v>
      </c>
      <c r="N13" s="59" t="s">
        <v>299</v>
      </c>
      <c r="O13" s="70">
        <v>0.2</v>
      </c>
      <c r="P13" s="59" t="s">
        <v>309</v>
      </c>
      <c r="Q13" s="143">
        <f>SUM(R13:T13)</f>
        <v>0</v>
      </c>
      <c r="R13" s="83">
        <v>0</v>
      </c>
      <c r="S13" s="83">
        <v>0</v>
      </c>
      <c r="T13" s="83">
        <v>0</v>
      </c>
      <c r="U13" s="83">
        <v>31000000</v>
      </c>
    </row>
    <row r="14" spans="2:21" ht="75" customHeight="1" x14ac:dyDescent="0.25">
      <c r="B14" s="519"/>
      <c r="C14" s="59" t="s">
        <v>300</v>
      </c>
      <c r="D14" s="59" t="s">
        <v>301</v>
      </c>
      <c r="E14" s="69">
        <v>0.25</v>
      </c>
      <c r="F14" s="69">
        <v>0.25</v>
      </c>
      <c r="G14" s="69">
        <v>0.3</v>
      </c>
      <c r="H14" s="69">
        <v>0.2</v>
      </c>
      <c r="I14" s="70">
        <f>SUM(E14:H14)</f>
        <v>1</v>
      </c>
      <c r="J14" s="59" t="s">
        <v>302</v>
      </c>
      <c r="K14" s="59" t="s">
        <v>168</v>
      </c>
      <c r="L14" s="58">
        <v>5</v>
      </c>
      <c r="M14" s="55" t="s">
        <v>307</v>
      </c>
      <c r="N14" s="59" t="s">
        <v>308</v>
      </c>
      <c r="O14" s="70">
        <v>0.25</v>
      </c>
      <c r="P14" s="59" t="s">
        <v>309</v>
      </c>
      <c r="Q14" s="143">
        <f>SUM(R14:T14)</f>
        <v>274000000</v>
      </c>
      <c r="R14" s="83">
        <f>180000000+94000000</f>
        <v>274000000</v>
      </c>
      <c r="S14" s="83">
        <v>0</v>
      </c>
      <c r="T14" s="83">
        <v>0</v>
      </c>
      <c r="U14" s="83">
        <v>0</v>
      </c>
    </row>
    <row r="15" spans="2:21" ht="15.75" x14ac:dyDescent="0.25">
      <c r="B15" s="635" t="s">
        <v>53</v>
      </c>
      <c r="C15" s="635"/>
      <c r="D15" s="635"/>
      <c r="E15" s="635"/>
      <c r="F15" s="635"/>
      <c r="G15" s="635"/>
      <c r="H15" s="635"/>
      <c r="I15" s="635"/>
      <c r="J15" s="635"/>
      <c r="K15" s="635"/>
      <c r="L15" s="635"/>
      <c r="M15" s="635"/>
      <c r="N15" s="635"/>
      <c r="O15" s="635"/>
      <c r="P15" s="635"/>
      <c r="Q15" s="152">
        <f>SUM(Q10:Q14)</f>
        <v>4078665570</v>
      </c>
      <c r="R15" s="152">
        <f>SUM(R10:R14)</f>
        <v>2528665570</v>
      </c>
      <c r="S15" s="152">
        <f>SUM(S10:S14)</f>
        <v>0</v>
      </c>
      <c r="T15" s="152">
        <f>SUM(T10:T14)</f>
        <v>1550000000</v>
      </c>
      <c r="U15" s="152">
        <f>SUM(U10:U14)</f>
        <v>3845575980.3499999</v>
      </c>
    </row>
    <row r="17" spans="16:20" ht="90" x14ac:dyDescent="0.25">
      <c r="P17" s="317"/>
      <c r="Q17" s="316" t="s">
        <v>400</v>
      </c>
      <c r="R17" s="316" t="s">
        <v>401</v>
      </c>
      <c r="T17" s="316" t="s">
        <v>402</v>
      </c>
    </row>
  </sheetData>
  <mergeCells count="11">
    <mergeCell ref="U8:U9"/>
    <mergeCell ref="B10:B14"/>
    <mergeCell ref="B15:P15"/>
    <mergeCell ref="M3:U3"/>
    <mergeCell ref="M2:U2"/>
    <mergeCell ref="B5:U5"/>
    <mergeCell ref="B6:U6"/>
    <mergeCell ref="B7:U7"/>
    <mergeCell ref="B8:J8"/>
    <mergeCell ref="L8:P8"/>
    <mergeCell ref="Q8:T8"/>
  </mergeCells>
  <conditionalFormatting sqref="E10:H14">
    <cfRule type="expression" dxfId="33" priority="1" stopIfTrue="1">
      <formula>+IF((#REF!+#REF!+#REF!+#REF!+#REF!)&lt;&gt;$L10,1,0)</formula>
    </cfRule>
  </conditionalFormatting>
  <dataValidations count="3">
    <dataValidation type="list" allowBlank="1" showInputMessage="1" showErrorMessage="1" sqref="J10:J14">
      <formula1>$U$25:$U$33</formula1>
    </dataValidation>
    <dataValidation type="list" allowBlank="1" showInputMessage="1" showErrorMessage="1" sqref="K10:K14">
      <formula1>$I$19:$I$23</formula1>
    </dataValidation>
    <dataValidation type="list" allowBlank="1" showInputMessage="1" showErrorMessage="1" sqref="P10:P14">
      <formula1>$Q$25:$Q$50</formula1>
    </dataValidation>
  </dataValidations>
  <pageMargins left="0.7" right="0.7" top="0.75" bottom="0.75" header="0.3" footer="0.3"/>
  <ignoredErrors>
    <ignoredError sqref="Q10:Q14" formulaRange="1" unlockedFormula="1"/>
    <ignoredError sqref="R10 R12 R14 U12" unlockedFormula="1"/>
  </ignoredErrors>
  <drawing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Z18"/>
  <sheetViews>
    <sheetView topLeftCell="U3" zoomScale="80" zoomScaleNormal="80" workbookViewId="0">
      <selection activeCell="Y8" sqref="Y8:Y9"/>
    </sheetView>
  </sheetViews>
  <sheetFormatPr baseColWidth="10" defaultRowHeight="15" x14ac:dyDescent="0.25"/>
  <cols>
    <col min="3" max="3" width="21.28515625" customWidth="1"/>
    <col min="4" max="4" width="15.85546875" customWidth="1"/>
    <col min="5" max="5" width="4.85546875" customWidth="1"/>
    <col min="6" max="6" width="5.5703125" customWidth="1"/>
    <col min="7" max="7" width="5.140625" customWidth="1"/>
    <col min="8" max="8" width="5.5703125" customWidth="1"/>
    <col min="9" max="9" width="9.28515625" customWidth="1"/>
    <col min="11" max="11" width="19.28515625" customWidth="1"/>
    <col min="12" max="12" width="5.140625" customWidth="1"/>
    <col min="13" max="13" width="20.140625" customWidth="1"/>
    <col min="14" max="14" width="17.5703125" customWidth="1"/>
    <col min="15" max="15" width="8.85546875" customWidth="1"/>
    <col min="16" max="16" width="20.42578125" customWidth="1"/>
    <col min="17" max="17" width="21.85546875" customWidth="1"/>
    <col min="18" max="18" width="20.7109375" customWidth="1"/>
    <col min="19" max="19" width="16.5703125" customWidth="1"/>
    <col min="20" max="20" width="20.85546875" customWidth="1"/>
    <col min="21" max="21" width="22.7109375" customWidth="1"/>
    <col min="22" max="22" width="56.5703125" customWidth="1"/>
    <col min="23" max="23" width="54.85546875" customWidth="1"/>
    <col min="24" max="24" width="55.42578125" customWidth="1"/>
    <col min="25" max="25" width="98.7109375" customWidth="1"/>
    <col min="26" max="26" width="37.7109375" customWidth="1"/>
  </cols>
  <sheetData>
    <row r="2" spans="2:26" ht="15.75" x14ac:dyDescent="0.25">
      <c r="M2" s="584" t="s">
        <v>0</v>
      </c>
      <c r="N2" s="584"/>
      <c r="O2" s="584"/>
      <c r="P2" s="584"/>
      <c r="Q2" s="584"/>
      <c r="R2" s="584"/>
      <c r="S2" s="584"/>
      <c r="T2" s="584"/>
      <c r="U2" s="584"/>
    </row>
    <row r="3" spans="2:26" ht="18" x14ac:dyDescent="0.25">
      <c r="M3" s="585" t="s">
        <v>310</v>
      </c>
      <c r="N3" s="585"/>
      <c r="O3" s="585"/>
      <c r="P3" s="585"/>
      <c r="Q3" s="585"/>
      <c r="R3" s="585"/>
      <c r="S3" s="585"/>
      <c r="T3" s="585"/>
      <c r="U3" s="585"/>
    </row>
    <row r="5" spans="2:26" ht="16.5" x14ac:dyDescent="0.25">
      <c r="B5" s="755" t="s">
        <v>23</v>
      </c>
      <c r="C5" s="755"/>
      <c r="D5" s="755"/>
      <c r="E5" s="755"/>
      <c r="F5" s="755"/>
      <c r="G5" s="755"/>
      <c r="H5" s="755"/>
      <c r="I5" s="755"/>
      <c r="J5" s="755"/>
      <c r="K5" s="755"/>
      <c r="L5" s="755"/>
      <c r="M5" s="755"/>
      <c r="N5" s="755"/>
      <c r="O5" s="755"/>
      <c r="P5" s="755"/>
      <c r="Q5" s="755"/>
      <c r="R5" s="755"/>
      <c r="S5" s="755"/>
      <c r="T5" s="755"/>
      <c r="U5" s="755"/>
    </row>
    <row r="6" spans="2:26" ht="16.5" x14ac:dyDescent="0.25">
      <c r="B6" s="523" t="s">
        <v>154</v>
      </c>
      <c r="C6" s="523"/>
      <c r="D6" s="523"/>
      <c r="E6" s="523"/>
      <c r="F6" s="523"/>
      <c r="G6" s="523"/>
      <c r="H6" s="523"/>
      <c r="I6" s="523"/>
      <c r="J6" s="523"/>
      <c r="K6" s="523"/>
      <c r="L6" s="523"/>
      <c r="M6" s="523"/>
      <c r="N6" s="523"/>
      <c r="O6" s="523"/>
      <c r="P6" s="523"/>
      <c r="Q6" s="523"/>
      <c r="R6" s="523"/>
      <c r="S6" s="523"/>
      <c r="T6" s="523"/>
      <c r="U6" s="523"/>
    </row>
    <row r="7" spans="2:26" ht="16.5" x14ac:dyDescent="0.25">
      <c r="B7" s="523" t="s">
        <v>155</v>
      </c>
      <c r="C7" s="523"/>
      <c r="D7" s="523"/>
      <c r="E7" s="523"/>
      <c r="F7" s="523"/>
      <c r="G7" s="523"/>
      <c r="H7" s="523"/>
      <c r="I7" s="523"/>
      <c r="J7" s="523"/>
      <c r="K7" s="523"/>
      <c r="L7" s="523"/>
      <c r="M7" s="523"/>
      <c r="N7" s="523"/>
      <c r="O7" s="523"/>
      <c r="P7" s="523"/>
      <c r="Q7" s="523"/>
      <c r="R7" s="523"/>
      <c r="S7" s="523"/>
      <c r="T7" s="523"/>
      <c r="U7" s="523"/>
      <c r="W7" s="708" t="s">
        <v>413</v>
      </c>
      <c r="X7" s="708"/>
      <c r="Y7" s="708"/>
    </row>
    <row r="8" spans="2:26" ht="15.75" x14ac:dyDescent="0.25">
      <c r="B8" s="517" t="s">
        <v>3</v>
      </c>
      <c r="C8" s="517"/>
      <c r="D8" s="517"/>
      <c r="E8" s="517"/>
      <c r="F8" s="517"/>
      <c r="G8" s="517"/>
      <c r="H8" s="517"/>
      <c r="I8" s="517"/>
      <c r="J8" s="517"/>
      <c r="K8" s="276"/>
      <c r="L8" s="517" t="s">
        <v>72</v>
      </c>
      <c r="M8" s="517"/>
      <c r="N8" s="517"/>
      <c r="O8" s="517"/>
      <c r="P8" s="517"/>
      <c r="Q8" s="511" t="s">
        <v>4</v>
      </c>
      <c r="R8" s="511"/>
      <c r="S8" s="511"/>
      <c r="T8" s="511"/>
      <c r="U8" s="522" t="s">
        <v>40</v>
      </c>
      <c r="W8" s="556" t="s">
        <v>410</v>
      </c>
      <c r="X8" s="557"/>
      <c r="Y8" s="757" t="s">
        <v>442</v>
      </c>
    </row>
    <row r="9" spans="2:26" ht="48" customHeight="1" x14ac:dyDescent="0.25">
      <c r="B9" s="274" t="s">
        <v>51</v>
      </c>
      <c r="C9" s="274" t="s">
        <v>12</v>
      </c>
      <c r="D9" s="274" t="s">
        <v>52</v>
      </c>
      <c r="E9" s="274" t="s">
        <v>24</v>
      </c>
      <c r="F9" s="274" t="s">
        <v>25</v>
      </c>
      <c r="G9" s="274" t="s">
        <v>26</v>
      </c>
      <c r="H9" s="274" t="s">
        <v>27</v>
      </c>
      <c r="I9" s="274" t="s">
        <v>28</v>
      </c>
      <c r="J9" s="274" t="s">
        <v>29</v>
      </c>
      <c r="K9" s="274" t="s">
        <v>47</v>
      </c>
      <c r="L9" s="280" t="s">
        <v>14</v>
      </c>
      <c r="M9" s="280" t="s">
        <v>79</v>
      </c>
      <c r="N9" s="280" t="s">
        <v>15</v>
      </c>
      <c r="O9" s="280" t="s">
        <v>16</v>
      </c>
      <c r="P9" s="274" t="s">
        <v>48</v>
      </c>
      <c r="Q9" s="280" t="s">
        <v>17</v>
      </c>
      <c r="R9" s="280" t="s">
        <v>18</v>
      </c>
      <c r="S9" s="280" t="s">
        <v>19</v>
      </c>
      <c r="T9" s="280" t="s">
        <v>361</v>
      </c>
      <c r="U9" s="522"/>
      <c r="V9" s="357" t="s">
        <v>423</v>
      </c>
      <c r="W9" s="293" t="s">
        <v>408</v>
      </c>
      <c r="X9" s="293" t="s">
        <v>409</v>
      </c>
      <c r="Y9" s="758"/>
    </row>
    <row r="10" spans="2:26" ht="356.25" customHeight="1" x14ac:dyDescent="0.25">
      <c r="B10" s="519" t="s">
        <v>292</v>
      </c>
      <c r="C10" s="270" t="s">
        <v>293</v>
      </c>
      <c r="D10" s="270" t="s">
        <v>294</v>
      </c>
      <c r="E10" s="69">
        <v>0.3</v>
      </c>
      <c r="F10" s="69">
        <v>0.2</v>
      </c>
      <c r="G10" s="69">
        <v>0.3</v>
      </c>
      <c r="H10" s="69">
        <v>0.2</v>
      </c>
      <c r="I10" s="70">
        <f>SUM(E10:H10)</f>
        <v>1</v>
      </c>
      <c r="J10" s="270" t="s">
        <v>302</v>
      </c>
      <c r="K10" s="270" t="s">
        <v>118</v>
      </c>
      <c r="L10" s="308">
        <v>1</v>
      </c>
      <c r="M10" s="286" t="s">
        <v>303</v>
      </c>
      <c r="N10" s="270" t="s">
        <v>376</v>
      </c>
      <c r="O10" s="70">
        <v>0.2</v>
      </c>
      <c r="P10" s="270" t="s">
        <v>309</v>
      </c>
      <c r="Q10" s="277">
        <f>SUM(R10:T10)</f>
        <v>1570080000</v>
      </c>
      <c r="R10" s="287">
        <f>1570080000-172080000</f>
        <v>1398000000</v>
      </c>
      <c r="S10" s="287">
        <v>0</v>
      </c>
      <c r="T10" s="287">
        <v>172080000</v>
      </c>
      <c r="U10" s="287">
        <v>0</v>
      </c>
      <c r="V10" s="363" t="s">
        <v>436</v>
      </c>
      <c r="W10" s="366" t="s">
        <v>443</v>
      </c>
      <c r="X10" s="365" t="s">
        <v>517</v>
      </c>
      <c r="Y10" s="365" t="s">
        <v>488</v>
      </c>
      <c r="Z10" s="377" t="s">
        <v>518</v>
      </c>
    </row>
    <row r="11" spans="2:26" ht="119.25" customHeight="1" x14ac:dyDescent="0.25">
      <c r="B11" s="519"/>
      <c r="C11" s="270" t="s">
        <v>295</v>
      </c>
      <c r="D11" s="270" t="s">
        <v>294</v>
      </c>
      <c r="E11" s="69">
        <v>0.25</v>
      </c>
      <c r="F11" s="69">
        <v>0.25</v>
      </c>
      <c r="G11" s="69">
        <v>0.25</v>
      </c>
      <c r="H11" s="69">
        <v>0.25</v>
      </c>
      <c r="I11" s="70">
        <f>SUM(E11:H11)</f>
        <v>1</v>
      </c>
      <c r="J11" s="270" t="s">
        <v>302</v>
      </c>
      <c r="K11" s="270" t="s">
        <v>168</v>
      </c>
      <c r="L11" s="273">
        <v>2</v>
      </c>
      <c r="M11" s="286" t="s">
        <v>304</v>
      </c>
      <c r="N11" s="270" t="s">
        <v>376</v>
      </c>
      <c r="O11" s="70">
        <v>0.25</v>
      </c>
      <c r="P11" s="270" t="s">
        <v>309</v>
      </c>
      <c r="Q11" s="277">
        <f>SUM(R11:T11)</f>
        <v>0</v>
      </c>
      <c r="R11" s="287">
        <v>0</v>
      </c>
      <c r="S11" s="287">
        <v>0</v>
      </c>
      <c r="T11" s="287">
        <v>0</v>
      </c>
      <c r="U11" s="287">
        <v>42230000</v>
      </c>
      <c r="V11" s="367" t="s">
        <v>437</v>
      </c>
      <c r="W11" s="366" t="s">
        <v>434</v>
      </c>
      <c r="X11" s="365" t="s">
        <v>532</v>
      </c>
      <c r="Y11" s="365" t="s">
        <v>516</v>
      </c>
      <c r="Z11" s="377" t="s">
        <v>533</v>
      </c>
    </row>
    <row r="12" spans="2:26" ht="246.75" customHeight="1" x14ac:dyDescent="0.25">
      <c r="B12" s="519"/>
      <c r="C12" s="270" t="s">
        <v>296</v>
      </c>
      <c r="D12" s="270" t="s">
        <v>297</v>
      </c>
      <c r="E12" s="69">
        <v>0.99</v>
      </c>
      <c r="F12" s="69">
        <v>0.99</v>
      </c>
      <c r="G12" s="69">
        <v>0.99</v>
      </c>
      <c r="H12" s="69">
        <v>0.99</v>
      </c>
      <c r="I12" s="70">
        <v>0.99</v>
      </c>
      <c r="J12" s="270" t="s">
        <v>302</v>
      </c>
      <c r="K12" s="270" t="s">
        <v>30</v>
      </c>
      <c r="L12" s="308">
        <v>3</v>
      </c>
      <c r="M12" s="286" t="s">
        <v>305</v>
      </c>
      <c r="N12" s="270" t="s">
        <v>297</v>
      </c>
      <c r="O12" s="70">
        <v>0.99</v>
      </c>
      <c r="P12" s="270" t="s">
        <v>309</v>
      </c>
      <c r="Q12" s="277">
        <f>SUM(R12:T12)</f>
        <v>2234585570</v>
      </c>
      <c r="R12" s="287">
        <f>2449920000-121334430-1377920000-94000000</f>
        <v>856665570</v>
      </c>
      <c r="S12" s="287">
        <v>0</v>
      </c>
      <c r="T12" s="287">
        <v>1377920000</v>
      </c>
      <c r="U12" s="287">
        <f>3774612868-2266887.65</f>
        <v>3772345980.3499999</v>
      </c>
      <c r="V12" s="367" t="s">
        <v>435</v>
      </c>
      <c r="W12" s="366" t="s">
        <v>438</v>
      </c>
      <c r="X12" s="365" t="s">
        <v>514</v>
      </c>
      <c r="Y12" s="366" t="s">
        <v>446</v>
      </c>
      <c r="Z12" s="377" t="s">
        <v>515</v>
      </c>
    </row>
    <row r="13" spans="2:26" ht="112.5" customHeight="1" x14ac:dyDescent="0.25">
      <c r="B13" s="519"/>
      <c r="C13" s="270" t="s">
        <v>298</v>
      </c>
      <c r="D13" s="270" t="s">
        <v>299</v>
      </c>
      <c r="E13" s="69">
        <v>0.4</v>
      </c>
      <c r="F13" s="69">
        <v>0.2</v>
      </c>
      <c r="G13" s="69">
        <v>0.2</v>
      </c>
      <c r="H13" s="69">
        <v>0.2</v>
      </c>
      <c r="I13" s="70">
        <f>SUM(E13:H13)</f>
        <v>1</v>
      </c>
      <c r="J13" s="270" t="s">
        <v>302</v>
      </c>
      <c r="K13" s="270" t="s">
        <v>118</v>
      </c>
      <c r="L13" s="273">
        <v>4</v>
      </c>
      <c r="M13" s="286" t="s">
        <v>306</v>
      </c>
      <c r="N13" s="270" t="s">
        <v>299</v>
      </c>
      <c r="O13" s="70">
        <v>0.2</v>
      </c>
      <c r="P13" s="270" t="s">
        <v>309</v>
      </c>
      <c r="Q13" s="277">
        <f>SUM(R13:T13)</f>
        <v>0</v>
      </c>
      <c r="R13" s="287">
        <v>0</v>
      </c>
      <c r="S13" s="287">
        <v>0</v>
      </c>
      <c r="T13" s="287">
        <v>0</v>
      </c>
      <c r="U13" s="287">
        <v>31000000</v>
      </c>
      <c r="V13" s="367" t="s">
        <v>440</v>
      </c>
      <c r="W13" s="366" t="s">
        <v>441</v>
      </c>
      <c r="X13" s="366" t="s">
        <v>534</v>
      </c>
      <c r="Y13" s="366" t="s">
        <v>519</v>
      </c>
      <c r="Z13" s="377" t="s">
        <v>535</v>
      </c>
    </row>
    <row r="14" spans="2:26" ht="130.5" customHeight="1" x14ac:dyDescent="0.25">
      <c r="B14" s="519"/>
      <c r="C14" s="270" t="s">
        <v>300</v>
      </c>
      <c r="D14" s="270" t="s">
        <v>301</v>
      </c>
      <c r="E14" s="69">
        <v>0.25</v>
      </c>
      <c r="F14" s="69">
        <v>0.25</v>
      </c>
      <c r="G14" s="69">
        <v>0.3</v>
      </c>
      <c r="H14" s="69">
        <v>0.2</v>
      </c>
      <c r="I14" s="70">
        <f>SUM(E14:H14)</f>
        <v>1</v>
      </c>
      <c r="J14" s="270" t="s">
        <v>302</v>
      </c>
      <c r="K14" s="270" t="s">
        <v>168</v>
      </c>
      <c r="L14" s="273">
        <v>5</v>
      </c>
      <c r="M14" s="286" t="s">
        <v>307</v>
      </c>
      <c r="N14" s="270" t="s">
        <v>308</v>
      </c>
      <c r="O14" s="70">
        <v>0.25</v>
      </c>
      <c r="P14" s="270" t="s">
        <v>309</v>
      </c>
      <c r="Q14" s="277">
        <f>SUM(R14:T14)</f>
        <v>274000000</v>
      </c>
      <c r="R14" s="287">
        <f>180000000+94000000</f>
        <v>274000000</v>
      </c>
      <c r="S14" s="287">
        <v>0</v>
      </c>
      <c r="T14" s="287">
        <v>0</v>
      </c>
      <c r="U14" s="287">
        <v>0</v>
      </c>
      <c r="V14" s="367" t="s">
        <v>439</v>
      </c>
      <c r="W14" s="366" t="s">
        <v>520</v>
      </c>
      <c r="X14" s="366" t="s">
        <v>444</v>
      </c>
      <c r="Y14" s="366" t="s">
        <v>445</v>
      </c>
      <c r="Z14" s="377" t="s">
        <v>521</v>
      </c>
    </row>
    <row r="15" spans="2:26" ht="15.75" x14ac:dyDescent="0.25">
      <c r="B15" s="635" t="s">
        <v>53</v>
      </c>
      <c r="C15" s="635"/>
      <c r="D15" s="635"/>
      <c r="E15" s="635"/>
      <c r="F15" s="635"/>
      <c r="G15" s="635"/>
      <c r="H15" s="635"/>
      <c r="I15" s="635"/>
      <c r="J15" s="635"/>
      <c r="K15" s="635"/>
      <c r="L15" s="635"/>
      <c r="M15" s="635"/>
      <c r="N15" s="635"/>
      <c r="O15" s="635"/>
      <c r="P15" s="635"/>
      <c r="Q15" s="152">
        <f>SUM(Q10:Q14)</f>
        <v>4078665570</v>
      </c>
      <c r="R15" s="152">
        <f>SUM(R10:R14)</f>
        <v>2528665570</v>
      </c>
      <c r="S15" s="152">
        <f>SUM(S10:S14)</f>
        <v>0</v>
      </c>
      <c r="T15" s="152">
        <f>SUM(T10:T14)</f>
        <v>1550000000</v>
      </c>
      <c r="U15" s="152">
        <f>SUM(U10:U14)</f>
        <v>3845575980.3499999</v>
      </c>
    </row>
    <row r="16" spans="2:26" ht="72.75" customHeight="1" x14ac:dyDescent="0.25">
      <c r="B16" s="756" t="s">
        <v>489</v>
      </c>
      <c r="C16" s="756"/>
      <c r="D16" s="756"/>
      <c r="E16" s="756"/>
      <c r="F16" s="756"/>
      <c r="G16" s="756"/>
      <c r="H16" s="756"/>
      <c r="I16" s="756"/>
      <c r="J16" s="756"/>
      <c r="K16" s="756"/>
      <c r="L16" s="756"/>
      <c r="M16" s="756"/>
      <c r="N16" s="756"/>
      <c r="O16" s="756"/>
      <c r="P16" s="756"/>
      <c r="Q16" s="756"/>
      <c r="R16" s="756"/>
      <c r="S16" s="756"/>
      <c r="T16" s="756"/>
      <c r="U16" s="756"/>
      <c r="V16" s="756"/>
      <c r="W16" s="756"/>
      <c r="X16" s="756"/>
      <c r="Y16" s="756"/>
    </row>
    <row r="17" spans="16:25" ht="75" x14ac:dyDescent="0.25">
      <c r="P17" s="317"/>
      <c r="Q17" s="316" t="s">
        <v>400</v>
      </c>
      <c r="R17" s="316" t="s">
        <v>401</v>
      </c>
      <c r="T17" s="316" t="s">
        <v>402</v>
      </c>
    </row>
    <row r="18" spans="16:25" x14ac:dyDescent="0.25">
      <c r="Y18" s="370"/>
    </row>
  </sheetData>
  <mergeCells count="15">
    <mergeCell ref="B16:Y16"/>
    <mergeCell ref="W7:Y7"/>
    <mergeCell ref="B10:B14"/>
    <mergeCell ref="B15:P15"/>
    <mergeCell ref="B8:J8"/>
    <mergeCell ref="L8:P8"/>
    <mergeCell ref="Q8:T8"/>
    <mergeCell ref="U8:U9"/>
    <mergeCell ref="W8:X8"/>
    <mergeCell ref="Y8:Y9"/>
    <mergeCell ref="M2:U2"/>
    <mergeCell ref="M3:U3"/>
    <mergeCell ref="B5:U5"/>
    <mergeCell ref="B6:U6"/>
    <mergeCell ref="B7:U7"/>
  </mergeCells>
  <conditionalFormatting sqref="E10:H14">
    <cfRule type="expression" dxfId="32" priority="1" stopIfTrue="1">
      <formula>+IF((#REF!+#REF!+#REF!+#REF!+#REF!)&lt;&gt;$L10,1,0)</formula>
    </cfRule>
  </conditionalFormatting>
  <dataValidations count="3">
    <dataValidation type="list" allowBlank="1" showInputMessage="1" showErrorMessage="1" sqref="P10:P14">
      <formula1>$Q$25:$Q$50</formula1>
    </dataValidation>
    <dataValidation type="list" allowBlank="1" showInputMessage="1" showErrorMessage="1" sqref="K10:K14">
      <formula1>$I$19:$I$23</formula1>
    </dataValidation>
    <dataValidation type="list" allowBlank="1" showInputMessage="1" showErrorMessage="1" sqref="J10:J14">
      <formula1>$U$25:$U$33</formula1>
    </dataValidation>
  </dataValidations>
  <pageMargins left="0.7" right="0.7" top="0.75" bottom="0.75" header="0.3" footer="0.3"/>
  <pageSetup orientation="portrait" verticalDpi="0" r:id="rId1"/>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18"/>
  <sheetViews>
    <sheetView zoomScale="90" zoomScaleNormal="90" workbookViewId="0">
      <selection activeCell="Y8" sqref="Y8:Y9"/>
    </sheetView>
  </sheetViews>
  <sheetFormatPr baseColWidth="10" defaultColWidth="11.42578125" defaultRowHeight="16.5" x14ac:dyDescent="0.3"/>
  <cols>
    <col min="1" max="1" width="5.7109375" style="161" customWidth="1"/>
    <col min="2" max="2" width="26" style="161" customWidth="1"/>
    <col min="3" max="3" width="19.42578125" style="161" customWidth="1"/>
    <col min="4" max="4" width="13.7109375" style="161" customWidth="1"/>
    <col min="5" max="5" width="6.42578125" style="161" customWidth="1"/>
    <col min="6" max="6" width="7" style="161" customWidth="1"/>
    <col min="7" max="7" width="6.28515625" style="161" customWidth="1"/>
    <col min="8" max="8" width="5" style="161" customWidth="1"/>
    <col min="9" max="9" width="10" style="161" customWidth="1"/>
    <col min="10" max="10" width="19.42578125" style="161" customWidth="1"/>
    <col min="11" max="11" width="17.7109375" style="161" customWidth="1"/>
    <col min="12" max="12" width="5.28515625" style="161" customWidth="1"/>
    <col min="13" max="13" width="21.5703125" style="161" customWidth="1"/>
    <col min="14" max="14" width="20.140625" style="161" customWidth="1"/>
    <col min="15" max="15" width="11.42578125" style="161"/>
    <col min="16" max="16" width="15.28515625" style="161" customWidth="1"/>
    <col min="17" max="17" width="18.140625" style="161" customWidth="1"/>
    <col min="18" max="18" width="17.28515625" style="161" customWidth="1"/>
    <col min="19" max="19" width="15.42578125" style="161" customWidth="1"/>
    <col min="20" max="20" width="15.5703125" style="161" customWidth="1"/>
    <col min="21" max="21" width="17.42578125" style="161" customWidth="1"/>
    <col min="22" max="16384" width="11.42578125" style="161"/>
  </cols>
  <sheetData>
    <row r="2" spans="2:21" x14ac:dyDescent="0.3">
      <c r="N2" s="536" t="s">
        <v>0</v>
      </c>
      <c r="O2" s="536"/>
      <c r="P2" s="536"/>
      <c r="Q2" s="536"/>
      <c r="R2" s="536"/>
      <c r="S2" s="536"/>
      <c r="T2" s="536"/>
      <c r="U2" s="536"/>
    </row>
    <row r="3" spans="2:21" ht="18" x14ac:dyDescent="0.3">
      <c r="N3" s="760" t="s">
        <v>291</v>
      </c>
      <c r="O3" s="760"/>
      <c r="P3" s="760"/>
      <c r="Q3" s="760"/>
      <c r="R3" s="760"/>
      <c r="S3" s="760"/>
      <c r="T3" s="760"/>
      <c r="U3" s="760"/>
    </row>
    <row r="4" spans="2:21" ht="24" customHeight="1" x14ac:dyDescent="0.3"/>
    <row r="5" spans="2:21" x14ac:dyDescent="0.3">
      <c r="B5" s="523" t="s">
        <v>202</v>
      </c>
      <c r="C5" s="523"/>
      <c r="D5" s="523"/>
      <c r="E5" s="523"/>
      <c r="F5" s="523"/>
      <c r="G5" s="523"/>
      <c r="H5" s="523"/>
      <c r="I5" s="523"/>
      <c r="J5" s="523"/>
      <c r="K5" s="523"/>
      <c r="L5" s="523"/>
      <c r="M5" s="523"/>
      <c r="N5" s="523"/>
      <c r="O5" s="523"/>
      <c r="P5" s="523"/>
      <c r="Q5" s="523"/>
      <c r="R5" s="523"/>
      <c r="S5" s="523"/>
      <c r="T5" s="523"/>
      <c r="U5" s="523"/>
    </row>
    <row r="6" spans="2:21" x14ac:dyDescent="0.3">
      <c r="B6" s="523" t="s">
        <v>221</v>
      </c>
      <c r="C6" s="523"/>
      <c r="D6" s="523"/>
      <c r="E6" s="523"/>
      <c r="F6" s="523"/>
      <c r="G6" s="523"/>
      <c r="H6" s="523"/>
      <c r="I6" s="523"/>
      <c r="J6" s="523"/>
      <c r="K6" s="523"/>
      <c r="L6" s="523"/>
      <c r="M6" s="523"/>
      <c r="N6" s="523"/>
      <c r="O6" s="523"/>
      <c r="P6" s="523"/>
      <c r="Q6" s="523"/>
      <c r="R6" s="523"/>
      <c r="S6" s="523"/>
      <c r="T6" s="523"/>
      <c r="U6" s="523"/>
    </row>
    <row r="7" spans="2:21" x14ac:dyDescent="0.3">
      <c r="B7" s="517" t="s">
        <v>3</v>
      </c>
      <c r="C7" s="517"/>
      <c r="D7" s="517"/>
      <c r="E7" s="517"/>
      <c r="F7" s="517"/>
      <c r="G7" s="517"/>
      <c r="H7" s="517"/>
      <c r="I7" s="517"/>
      <c r="J7" s="517"/>
      <c r="K7" s="84"/>
      <c r="L7" s="517" t="s">
        <v>72</v>
      </c>
      <c r="M7" s="517"/>
      <c r="N7" s="517"/>
      <c r="O7" s="517"/>
      <c r="P7" s="517"/>
      <c r="Q7" s="511" t="s">
        <v>4</v>
      </c>
      <c r="R7" s="511"/>
      <c r="S7" s="511"/>
      <c r="T7" s="511"/>
      <c r="U7" s="522" t="s">
        <v>40</v>
      </c>
    </row>
    <row r="8" spans="2:21" ht="54.75" customHeight="1" x14ac:dyDescent="0.3">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2"/>
    </row>
    <row r="9" spans="2:21" ht="67.5" x14ac:dyDescent="0.3">
      <c r="B9" s="519" t="s">
        <v>222</v>
      </c>
      <c r="C9" s="213" t="s">
        <v>377</v>
      </c>
      <c r="D9" s="216" t="s">
        <v>378</v>
      </c>
      <c r="E9" s="298">
        <v>1</v>
      </c>
      <c r="F9" s="56">
        <v>1</v>
      </c>
      <c r="G9" s="56">
        <v>2</v>
      </c>
      <c r="H9" s="56">
        <v>2</v>
      </c>
      <c r="I9" s="150">
        <f t="shared" ref="I9:I14" si="0">SUM(E9:H9)</f>
        <v>6</v>
      </c>
      <c r="J9" s="59" t="s">
        <v>282</v>
      </c>
      <c r="K9" s="59" t="s">
        <v>113</v>
      </c>
      <c r="L9" s="307">
        <v>1</v>
      </c>
      <c r="M9" s="213" t="s">
        <v>377</v>
      </c>
      <c r="N9" s="210" t="s">
        <v>378</v>
      </c>
      <c r="O9" s="56">
        <v>1</v>
      </c>
      <c r="P9" s="59" t="s">
        <v>289</v>
      </c>
      <c r="Q9" s="143">
        <f>R9+S9+T9</f>
        <v>0</v>
      </c>
      <c r="R9" s="83">
        <v>0</v>
      </c>
      <c r="S9" s="83">
        <v>0</v>
      </c>
      <c r="T9" s="83">
        <v>0</v>
      </c>
      <c r="U9" s="63">
        <v>0</v>
      </c>
    </row>
    <row r="10" spans="2:21" ht="67.5" x14ac:dyDescent="0.3">
      <c r="B10" s="519"/>
      <c r="C10" s="68" t="s">
        <v>272</v>
      </c>
      <c r="D10" s="59" t="s">
        <v>273</v>
      </c>
      <c r="E10" s="56">
        <f>365*5</f>
        <v>1825</v>
      </c>
      <c r="F10" s="56">
        <f>365*5</f>
        <v>1825</v>
      </c>
      <c r="G10" s="56">
        <f>365*5</f>
        <v>1825</v>
      </c>
      <c r="H10" s="56">
        <f>365*5</f>
        <v>1825</v>
      </c>
      <c r="I10" s="58">
        <f t="shared" si="0"/>
        <v>7300</v>
      </c>
      <c r="J10" s="59" t="s">
        <v>282</v>
      </c>
      <c r="K10" s="59" t="s">
        <v>113</v>
      </c>
      <c r="L10" s="307">
        <v>2</v>
      </c>
      <c r="M10" s="68" t="s">
        <v>272</v>
      </c>
      <c r="N10" s="60" t="s">
        <v>285</v>
      </c>
      <c r="O10" s="56">
        <f>365*5</f>
        <v>1825</v>
      </c>
      <c r="P10" s="59" t="s">
        <v>290</v>
      </c>
      <c r="Q10" s="143">
        <f>R10+S10+T10</f>
        <v>155000000</v>
      </c>
      <c r="R10" s="83">
        <v>155000000</v>
      </c>
      <c r="S10" s="83">
        <v>0</v>
      </c>
      <c r="T10" s="83">
        <v>0</v>
      </c>
      <c r="U10" s="63">
        <v>0</v>
      </c>
    </row>
    <row r="11" spans="2:21" ht="67.5" x14ac:dyDescent="0.3">
      <c r="B11" s="519"/>
      <c r="C11" s="68" t="s">
        <v>274</v>
      </c>
      <c r="D11" s="59" t="s">
        <v>275</v>
      </c>
      <c r="E11" s="56">
        <v>100</v>
      </c>
      <c r="F11" s="56">
        <v>100</v>
      </c>
      <c r="G11" s="56">
        <v>100</v>
      </c>
      <c r="H11" s="56">
        <v>100</v>
      </c>
      <c r="I11" s="58">
        <f t="shared" si="0"/>
        <v>400</v>
      </c>
      <c r="J11" s="59" t="s">
        <v>282</v>
      </c>
      <c r="K11" s="59" t="s">
        <v>113</v>
      </c>
      <c r="L11" s="307">
        <v>3</v>
      </c>
      <c r="M11" s="68" t="s">
        <v>274</v>
      </c>
      <c r="N11" s="60" t="s">
        <v>286</v>
      </c>
      <c r="O11" s="56">
        <v>100</v>
      </c>
      <c r="P11" s="59" t="s">
        <v>290</v>
      </c>
      <c r="Q11" s="143">
        <f>R11+S11+T11</f>
        <v>165466580</v>
      </c>
      <c r="R11" s="83">
        <f>175000000-9533420</f>
        <v>165466580</v>
      </c>
      <c r="S11" s="83">
        <v>0</v>
      </c>
      <c r="T11" s="83">
        <v>0</v>
      </c>
      <c r="U11" s="63">
        <v>0</v>
      </c>
    </row>
    <row r="12" spans="2:21" ht="67.5" x14ac:dyDescent="0.3">
      <c r="B12" s="519" t="s">
        <v>276</v>
      </c>
      <c r="C12" s="500" t="s">
        <v>277</v>
      </c>
      <c r="D12" s="59" t="s">
        <v>278</v>
      </c>
      <c r="E12" s="57">
        <f>365*6</f>
        <v>2190</v>
      </c>
      <c r="F12" s="215">
        <f>365*6</f>
        <v>2190</v>
      </c>
      <c r="G12" s="57">
        <f>365*6</f>
        <v>2190</v>
      </c>
      <c r="H12" s="57">
        <f>365*6</f>
        <v>2190</v>
      </c>
      <c r="I12" s="58">
        <f t="shared" si="0"/>
        <v>8760</v>
      </c>
      <c r="J12" s="59" t="s">
        <v>282</v>
      </c>
      <c r="K12" s="59" t="s">
        <v>113</v>
      </c>
      <c r="L12" s="686">
        <v>4</v>
      </c>
      <c r="M12" s="500" t="s">
        <v>283</v>
      </c>
      <c r="N12" s="60" t="s">
        <v>287</v>
      </c>
      <c r="O12" s="151">
        <f>365*6</f>
        <v>2190</v>
      </c>
      <c r="P12" s="59" t="s">
        <v>290</v>
      </c>
      <c r="Q12" s="518">
        <f>R12+S12+T12</f>
        <v>0</v>
      </c>
      <c r="R12" s="692">
        <v>0</v>
      </c>
      <c r="S12" s="692">
        <v>0</v>
      </c>
      <c r="T12" s="692">
        <v>0</v>
      </c>
      <c r="U12" s="692">
        <f>1093937186+216462493+9438355</f>
        <v>1319838034</v>
      </c>
    </row>
    <row r="13" spans="2:21" ht="99" customHeight="1" x14ac:dyDescent="0.3">
      <c r="B13" s="519"/>
      <c r="C13" s="500"/>
      <c r="D13" s="59" t="s">
        <v>279</v>
      </c>
      <c r="E13" s="215">
        <v>25</v>
      </c>
      <c r="F13" s="217">
        <v>1</v>
      </c>
      <c r="G13" s="217">
        <v>1</v>
      </c>
      <c r="H13" s="217">
        <v>1</v>
      </c>
      <c r="I13" s="217">
        <v>1</v>
      </c>
      <c r="J13" s="59" t="s">
        <v>282</v>
      </c>
      <c r="K13" s="59" t="s">
        <v>113</v>
      </c>
      <c r="L13" s="686"/>
      <c r="M13" s="500"/>
      <c r="N13" s="209" t="s">
        <v>379</v>
      </c>
      <c r="O13" s="217">
        <v>1</v>
      </c>
      <c r="P13" s="59" t="s">
        <v>290</v>
      </c>
      <c r="Q13" s="518"/>
      <c r="R13" s="692"/>
      <c r="S13" s="692"/>
      <c r="T13" s="692"/>
      <c r="U13" s="692"/>
    </row>
    <row r="14" spans="2:21" ht="67.5" x14ac:dyDescent="0.3">
      <c r="B14" s="519"/>
      <c r="C14" s="59" t="s">
        <v>280</v>
      </c>
      <c r="D14" s="59" t="s">
        <v>281</v>
      </c>
      <c r="E14" s="299">
        <v>365</v>
      </c>
      <c r="F14" s="214">
        <v>1251</v>
      </c>
      <c r="G14" s="214">
        <v>1251</v>
      </c>
      <c r="H14" s="214">
        <v>1251</v>
      </c>
      <c r="I14" s="58">
        <f t="shared" si="0"/>
        <v>4118</v>
      </c>
      <c r="J14" s="59" t="s">
        <v>282</v>
      </c>
      <c r="K14" s="59" t="s">
        <v>113</v>
      </c>
      <c r="L14" s="307">
        <v>5</v>
      </c>
      <c r="M14" s="59" t="s">
        <v>284</v>
      </c>
      <c r="N14" s="60" t="s">
        <v>288</v>
      </c>
      <c r="O14" s="214">
        <v>1251</v>
      </c>
      <c r="P14" s="59" t="s">
        <v>290</v>
      </c>
      <c r="Q14" s="143">
        <f>R14+S14+T14</f>
        <v>0</v>
      </c>
      <c r="R14" s="63">
        <v>0</v>
      </c>
      <c r="S14" s="63">
        <v>0</v>
      </c>
      <c r="T14" s="63">
        <v>0</v>
      </c>
      <c r="U14" s="63">
        <v>0</v>
      </c>
    </row>
    <row r="15" spans="2:21" x14ac:dyDescent="0.3">
      <c r="B15" s="759" t="s">
        <v>53</v>
      </c>
      <c r="C15" s="759"/>
      <c r="D15" s="759"/>
      <c r="E15" s="759"/>
      <c r="F15" s="759"/>
      <c r="G15" s="759"/>
      <c r="H15" s="759"/>
      <c r="I15" s="759"/>
      <c r="J15" s="759"/>
      <c r="K15" s="759"/>
      <c r="L15" s="759"/>
      <c r="M15" s="759"/>
      <c r="N15" s="759"/>
      <c r="O15" s="759"/>
      <c r="P15" s="759"/>
      <c r="Q15" s="175">
        <f>SUM(R15:T15)</f>
        <v>320466580</v>
      </c>
      <c r="R15" s="175">
        <f>SUBTOTAL(9,R2:R14)</f>
        <v>320466580</v>
      </c>
      <c r="S15" s="175">
        <f>SUBTOTAL(9,S2:S14)</f>
        <v>0</v>
      </c>
      <c r="T15" s="175">
        <f>SUBTOTAL(9,T2:T14)</f>
        <v>0</v>
      </c>
      <c r="U15" s="175">
        <f>SUBTOTAL(9,U4:U14)</f>
        <v>1319838034</v>
      </c>
    </row>
    <row r="17" spans="2:18" ht="99" x14ac:dyDescent="0.3">
      <c r="B17" s="297" t="s">
        <v>393</v>
      </c>
      <c r="P17" s="318"/>
      <c r="Q17" s="315" t="s">
        <v>398</v>
      </c>
      <c r="R17" s="319" t="s">
        <v>399</v>
      </c>
    </row>
    <row r="18" spans="2:18" x14ac:dyDescent="0.3">
      <c r="B18" s="313" t="s">
        <v>392</v>
      </c>
    </row>
  </sheetData>
  <mergeCells count="19">
    <mergeCell ref="N2:U2"/>
    <mergeCell ref="M12:M13"/>
    <mergeCell ref="Q12:Q13"/>
    <mergeCell ref="R12:R13"/>
    <mergeCell ref="S12:S13"/>
    <mergeCell ref="B15:P15"/>
    <mergeCell ref="N3:U3"/>
    <mergeCell ref="B12:B14"/>
    <mergeCell ref="C12:C13"/>
    <mergeCell ref="B9:B11"/>
    <mergeCell ref="T12:T13"/>
    <mergeCell ref="U12:U13"/>
    <mergeCell ref="B5:U5"/>
    <mergeCell ref="B6:U6"/>
    <mergeCell ref="B7:J7"/>
    <mergeCell ref="L7:P7"/>
    <mergeCell ref="Q7:T7"/>
    <mergeCell ref="U7:U8"/>
    <mergeCell ref="L12:L13"/>
  </mergeCells>
  <conditionalFormatting sqref="E9:H9">
    <cfRule type="expression" dxfId="31" priority="12" stopIfTrue="1">
      <formula>+IF((#REF!+#REF!+#REF!+#REF!+#REF!)&lt;&gt;$J9,1,0)</formula>
    </cfRule>
  </conditionalFormatting>
  <conditionalFormatting sqref="E10:H10">
    <cfRule type="expression" dxfId="30" priority="11" stopIfTrue="1">
      <formula>+IF((#REF!+#REF!+#REF!+#REF!+#REF!)&lt;&gt;$J10,1,0)</formula>
    </cfRule>
  </conditionalFormatting>
  <conditionalFormatting sqref="E11:H11">
    <cfRule type="expression" dxfId="29" priority="10" stopIfTrue="1">
      <formula>+IF((#REF!+#REF!+#REF!+#REF!+#REF!)&lt;&gt;$J11,1,0)</formula>
    </cfRule>
  </conditionalFormatting>
  <conditionalFormatting sqref="E12:H12">
    <cfRule type="expression" dxfId="28" priority="9" stopIfTrue="1">
      <formula>+IF((#REF!+#REF!+#REF!+#REF!+#REF!)&lt;&gt;$J12,1,0)</formula>
    </cfRule>
  </conditionalFormatting>
  <conditionalFormatting sqref="E13:H13">
    <cfRule type="expression" dxfId="27" priority="8" stopIfTrue="1">
      <formula>+IF((#REF!+#REF!+#REF!+#REF!+#REF!)&lt;&gt;$J13,1,0)</formula>
    </cfRule>
  </conditionalFormatting>
  <conditionalFormatting sqref="E14:H14">
    <cfRule type="expression" dxfId="26" priority="7" stopIfTrue="1">
      <formula>+IF((#REF!+#REF!+#REF!+#REF!+#REF!)&lt;&gt;$J14,1,0)</formula>
    </cfRule>
  </conditionalFormatting>
  <conditionalFormatting sqref="O9">
    <cfRule type="expression" dxfId="25" priority="6" stopIfTrue="1">
      <formula>+IF((#REF!+#REF!+#REF!+#REF!+#REF!)&lt;&gt;$L9,1,0)</formula>
    </cfRule>
  </conditionalFormatting>
  <conditionalFormatting sqref="O10">
    <cfRule type="expression" dxfId="24" priority="5" stopIfTrue="1">
      <formula>+IF((#REF!+#REF!+#REF!+#REF!+#REF!)&lt;&gt;$L10,1,0)</formula>
    </cfRule>
  </conditionalFormatting>
  <conditionalFormatting sqref="O11">
    <cfRule type="expression" dxfId="23" priority="4" stopIfTrue="1">
      <formula>+IF((#REF!+#REF!+#REF!+#REF!+#REF!)&lt;&gt;$L11,1,0)</formula>
    </cfRule>
  </conditionalFormatting>
  <conditionalFormatting sqref="O14">
    <cfRule type="expression" dxfId="22" priority="3" stopIfTrue="1">
      <formula>+IF((#REF!+#REF!+#REF!+#REF!+#REF!)&lt;&gt;$L14,1,0)</formula>
    </cfRule>
  </conditionalFormatting>
  <conditionalFormatting sqref="I13">
    <cfRule type="expression" dxfId="21" priority="2" stopIfTrue="1">
      <formula>+IF((#REF!+#REF!+#REF!+#REF!+#REF!)&lt;&gt;$J13,1,0)</formula>
    </cfRule>
  </conditionalFormatting>
  <conditionalFormatting sqref="O13">
    <cfRule type="expression" dxfId="20" priority="1" stopIfTrue="1">
      <formula>+IF((#REF!+#REF!+#REF!+#REF!+#REF!)&lt;&gt;$J13,1,0)</formula>
    </cfRule>
  </conditionalFormatting>
  <dataValidations count="4">
    <dataValidation type="list" allowBlank="1" showInputMessage="1" showErrorMessage="1" sqref="J9:J14">
      <formula1>$S$28:$S$36</formula1>
    </dataValidation>
    <dataValidation type="list" allowBlank="1" showInputMessage="1" showErrorMessage="1" sqref="K9:K14">
      <formula1>$G$23:$G$26</formula1>
    </dataValidation>
    <dataValidation type="list" allowBlank="1" showInputMessage="1" showErrorMessage="1" sqref="P9">
      <formula1>$P$28:$P$53</formula1>
    </dataValidation>
    <dataValidation type="list" allowBlank="1" showInputMessage="1" showErrorMessage="1" sqref="P10:P14">
      <formula1>$Q$29:$Q$54</formula1>
    </dataValidation>
  </dataValidations>
  <pageMargins left="0.7" right="0.7" top="0.75" bottom="0.75" header="0.3" footer="0.3"/>
  <pageSetup orientation="portrait" r:id="rId1"/>
  <ignoredErrors>
    <ignoredError sqref="Q14 Q9:Q12 R11" unlockedFormula="1"/>
  </ignoredError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Y17"/>
  <sheetViews>
    <sheetView tabSelected="1" topLeftCell="R1" zoomScale="85" zoomScaleNormal="85" workbookViewId="0">
      <selection activeCell="V6" sqref="V6:X6"/>
    </sheetView>
  </sheetViews>
  <sheetFormatPr baseColWidth="10" defaultColWidth="11.42578125" defaultRowHeight="16.5" x14ac:dyDescent="0.3"/>
  <cols>
    <col min="1" max="1" width="5.7109375" style="161" customWidth="1"/>
    <col min="2" max="2" width="26" style="161" customWidth="1"/>
    <col min="3" max="3" width="19.42578125" style="161" customWidth="1"/>
    <col min="4" max="4" width="13.7109375" style="161" customWidth="1"/>
    <col min="5" max="5" width="6.42578125" style="161" customWidth="1"/>
    <col min="6" max="6" width="7" style="161" customWidth="1"/>
    <col min="7" max="7" width="6.28515625" style="161" customWidth="1"/>
    <col min="8" max="8" width="5" style="161" customWidth="1"/>
    <col min="9" max="9" width="10" style="161" customWidth="1"/>
    <col min="10" max="10" width="19.42578125" style="161" customWidth="1"/>
    <col min="11" max="11" width="17.7109375" style="161" customWidth="1"/>
    <col min="12" max="12" width="5.28515625" style="161" customWidth="1"/>
    <col min="13" max="13" width="21.5703125" style="161" customWidth="1"/>
    <col min="14" max="14" width="20.140625" style="161" customWidth="1"/>
    <col min="15" max="15" width="11.42578125" style="161"/>
    <col min="16" max="16" width="15.28515625" style="161" customWidth="1"/>
    <col min="17" max="17" width="21" style="161" customWidth="1"/>
    <col min="18" max="18" width="17.28515625" style="161" customWidth="1"/>
    <col min="19" max="19" width="15.42578125" style="161" customWidth="1"/>
    <col min="20" max="20" width="15.5703125" style="161" customWidth="1"/>
    <col min="21" max="21" width="17.42578125" style="161" customWidth="1"/>
    <col min="22" max="23" width="66.85546875" style="161" customWidth="1"/>
    <col min="24" max="24" width="100.42578125" style="161" customWidth="1"/>
    <col min="25" max="25" width="37.7109375" style="161" customWidth="1"/>
    <col min="26" max="16384" width="11.42578125" style="161"/>
  </cols>
  <sheetData>
    <row r="2" spans="2:25" x14ac:dyDescent="0.3">
      <c r="N2" s="536" t="s">
        <v>0</v>
      </c>
      <c r="O2" s="536"/>
      <c r="P2" s="536"/>
      <c r="Q2" s="536"/>
      <c r="R2" s="536"/>
      <c r="S2" s="536"/>
      <c r="T2" s="536"/>
      <c r="U2" s="536"/>
    </row>
    <row r="3" spans="2:25" ht="18" x14ac:dyDescent="0.3">
      <c r="N3" s="760" t="s">
        <v>291</v>
      </c>
      <c r="O3" s="760"/>
      <c r="P3" s="760"/>
      <c r="Q3" s="760"/>
      <c r="R3" s="760"/>
      <c r="S3" s="760"/>
      <c r="T3" s="760"/>
      <c r="U3" s="760"/>
    </row>
    <row r="4" spans="2:25" ht="24" customHeight="1" x14ac:dyDescent="0.3"/>
    <row r="5" spans="2:25" x14ac:dyDescent="0.3">
      <c r="B5" s="523" t="s">
        <v>202</v>
      </c>
      <c r="C5" s="523"/>
      <c r="D5" s="523"/>
      <c r="E5" s="523"/>
      <c r="F5" s="523"/>
      <c r="G5" s="523"/>
      <c r="H5" s="523"/>
      <c r="I5" s="523"/>
      <c r="J5" s="523"/>
      <c r="K5" s="523"/>
      <c r="L5" s="523"/>
      <c r="M5" s="523"/>
      <c r="N5" s="523"/>
      <c r="O5" s="523"/>
      <c r="P5" s="523"/>
      <c r="Q5" s="523"/>
      <c r="R5" s="523"/>
      <c r="S5" s="523"/>
      <c r="T5" s="523"/>
      <c r="U5" s="523"/>
    </row>
    <row r="6" spans="2:25" x14ac:dyDescent="0.3">
      <c r="B6" s="523" t="s">
        <v>650</v>
      </c>
      <c r="C6" s="523"/>
      <c r="D6" s="523"/>
      <c r="E6" s="523"/>
      <c r="F6" s="523"/>
      <c r="G6" s="523"/>
      <c r="H6" s="523"/>
      <c r="I6" s="523"/>
      <c r="J6" s="523"/>
      <c r="K6" s="523"/>
      <c r="L6" s="523"/>
      <c r="M6" s="523"/>
      <c r="N6" s="523"/>
      <c r="O6" s="523"/>
      <c r="P6" s="523"/>
      <c r="Q6" s="523"/>
      <c r="R6" s="523"/>
      <c r="S6" s="523"/>
      <c r="T6" s="523"/>
      <c r="U6" s="523"/>
      <c r="V6" s="708" t="s">
        <v>746</v>
      </c>
      <c r="W6" s="708"/>
      <c r="X6" s="708"/>
    </row>
    <row r="7" spans="2:25" x14ac:dyDescent="0.3">
      <c r="B7" s="517" t="s">
        <v>3</v>
      </c>
      <c r="C7" s="517"/>
      <c r="D7" s="517"/>
      <c r="E7" s="517"/>
      <c r="F7" s="517"/>
      <c r="G7" s="517"/>
      <c r="H7" s="517"/>
      <c r="I7" s="517"/>
      <c r="J7" s="517"/>
      <c r="K7" s="276"/>
      <c r="L7" s="517" t="s">
        <v>72</v>
      </c>
      <c r="M7" s="517"/>
      <c r="N7" s="517"/>
      <c r="O7" s="517"/>
      <c r="P7" s="517"/>
      <c r="Q7" s="511" t="s">
        <v>4</v>
      </c>
      <c r="R7" s="511"/>
      <c r="S7" s="511"/>
      <c r="T7" s="511"/>
      <c r="U7" s="522" t="s">
        <v>40</v>
      </c>
      <c r="V7" s="556" t="s">
        <v>410</v>
      </c>
      <c r="W7" s="557"/>
      <c r="X7" s="762" t="s">
        <v>442</v>
      </c>
    </row>
    <row r="8" spans="2:25" ht="30" customHeight="1" x14ac:dyDescent="0.3">
      <c r="B8" s="274" t="s">
        <v>51</v>
      </c>
      <c r="C8" s="274" t="s">
        <v>12</v>
      </c>
      <c r="D8" s="274" t="s">
        <v>52</v>
      </c>
      <c r="E8" s="274" t="s">
        <v>24</v>
      </c>
      <c r="F8" s="274" t="s">
        <v>25</v>
      </c>
      <c r="G8" s="274" t="s">
        <v>26</v>
      </c>
      <c r="H8" s="274" t="s">
        <v>27</v>
      </c>
      <c r="I8" s="274" t="s">
        <v>28</v>
      </c>
      <c r="J8" s="274" t="s">
        <v>29</v>
      </c>
      <c r="K8" s="274" t="s">
        <v>47</v>
      </c>
      <c r="L8" s="280" t="s">
        <v>14</v>
      </c>
      <c r="M8" s="280" t="s">
        <v>79</v>
      </c>
      <c r="N8" s="280" t="s">
        <v>15</v>
      </c>
      <c r="O8" s="280" t="s">
        <v>16</v>
      </c>
      <c r="P8" s="274" t="s">
        <v>48</v>
      </c>
      <c r="Q8" s="280" t="s">
        <v>17</v>
      </c>
      <c r="R8" s="280" t="s">
        <v>18</v>
      </c>
      <c r="S8" s="280" t="s">
        <v>19</v>
      </c>
      <c r="T8" s="280" t="s">
        <v>361</v>
      </c>
      <c r="U8" s="522"/>
      <c r="V8" s="336" t="s">
        <v>414</v>
      </c>
      <c r="W8" s="336" t="s">
        <v>409</v>
      </c>
      <c r="X8" s="763"/>
    </row>
    <row r="9" spans="2:25" ht="294.75" customHeight="1" x14ac:dyDescent="0.3">
      <c r="B9" s="519" t="s">
        <v>222</v>
      </c>
      <c r="C9" s="213" t="s">
        <v>377</v>
      </c>
      <c r="D9" s="216" t="s">
        <v>378</v>
      </c>
      <c r="E9" s="302">
        <v>1</v>
      </c>
      <c r="F9" s="282">
        <v>1</v>
      </c>
      <c r="G9" s="282">
        <v>2</v>
      </c>
      <c r="H9" s="282">
        <v>2</v>
      </c>
      <c r="I9" s="288">
        <f t="shared" ref="I9:I14" si="0">SUM(E9:H9)</f>
        <v>6</v>
      </c>
      <c r="J9" s="270" t="s">
        <v>282</v>
      </c>
      <c r="K9" s="270" t="s">
        <v>113</v>
      </c>
      <c r="L9" s="351">
        <v>1</v>
      </c>
      <c r="M9" s="473" t="s">
        <v>377</v>
      </c>
      <c r="N9" s="475" t="s">
        <v>378</v>
      </c>
      <c r="O9" s="282">
        <v>1</v>
      </c>
      <c r="P9" s="270" t="s">
        <v>289</v>
      </c>
      <c r="Q9" s="277">
        <f>R9+S9+T9</f>
        <v>0</v>
      </c>
      <c r="R9" s="287">
        <v>0</v>
      </c>
      <c r="S9" s="287">
        <v>0</v>
      </c>
      <c r="T9" s="287">
        <v>0</v>
      </c>
      <c r="U9" s="275">
        <v>0</v>
      </c>
      <c r="V9" s="464" t="s">
        <v>731</v>
      </c>
      <c r="W9" s="464" t="s">
        <v>729</v>
      </c>
      <c r="X9" s="464" t="s">
        <v>732</v>
      </c>
      <c r="Y9" s="380" t="s">
        <v>524</v>
      </c>
    </row>
    <row r="10" spans="2:25" ht="158.25" customHeight="1" x14ac:dyDescent="0.3">
      <c r="B10" s="519"/>
      <c r="C10" s="269" t="s">
        <v>272</v>
      </c>
      <c r="D10" s="270" t="s">
        <v>273</v>
      </c>
      <c r="E10" s="282">
        <f>365*5</f>
        <v>1825</v>
      </c>
      <c r="F10" s="282">
        <f>365*5</f>
        <v>1825</v>
      </c>
      <c r="G10" s="282">
        <f>365*5</f>
        <v>1825</v>
      </c>
      <c r="H10" s="282">
        <f>365*5</f>
        <v>1825</v>
      </c>
      <c r="I10" s="273">
        <f t="shared" si="0"/>
        <v>7300</v>
      </c>
      <c r="J10" s="270" t="s">
        <v>282</v>
      </c>
      <c r="K10" s="270" t="s">
        <v>113</v>
      </c>
      <c r="L10" s="351">
        <v>2</v>
      </c>
      <c r="M10" s="269" t="s">
        <v>272</v>
      </c>
      <c r="N10" s="272" t="s">
        <v>285</v>
      </c>
      <c r="O10" s="282">
        <f>365*5</f>
        <v>1825</v>
      </c>
      <c r="P10" s="270" t="s">
        <v>290</v>
      </c>
      <c r="Q10" s="277">
        <f>R10+S10+T10</f>
        <v>156000000</v>
      </c>
      <c r="R10" s="287">
        <v>156000000</v>
      </c>
      <c r="S10" s="287">
        <v>0</v>
      </c>
      <c r="T10" s="287">
        <v>0</v>
      </c>
      <c r="U10" s="275">
        <v>0</v>
      </c>
      <c r="V10" s="464" t="s">
        <v>623</v>
      </c>
      <c r="W10" s="464" t="s">
        <v>730</v>
      </c>
      <c r="X10" s="464" t="s">
        <v>733</v>
      </c>
      <c r="Y10" s="380" t="s">
        <v>483</v>
      </c>
    </row>
    <row r="11" spans="2:25" ht="242.25" customHeight="1" x14ac:dyDescent="0.3">
      <c r="B11" s="519"/>
      <c r="C11" s="269" t="s">
        <v>274</v>
      </c>
      <c r="D11" s="270" t="s">
        <v>275</v>
      </c>
      <c r="E11" s="282">
        <v>100</v>
      </c>
      <c r="F11" s="282">
        <v>100</v>
      </c>
      <c r="G11" s="282">
        <v>100</v>
      </c>
      <c r="H11" s="282">
        <v>100</v>
      </c>
      <c r="I11" s="273">
        <f t="shared" si="0"/>
        <v>400</v>
      </c>
      <c r="J11" s="270" t="s">
        <v>282</v>
      </c>
      <c r="K11" s="270" t="s">
        <v>113</v>
      </c>
      <c r="L11" s="351">
        <v>3</v>
      </c>
      <c r="M11" s="269" t="s">
        <v>274</v>
      </c>
      <c r="N11" s="272" t="s">
        <v>286</v>
      </c>
      <c r="O11" s="282">
        <v>100</v>
      </c>
      <c r="P11" s="270" t="s">
        <v>290</v>
      </c>
      <c r="Q11" s="277">
        <f>R11+S11+T11</f>
        <v>165466580</v>
      </c>
      <c r="R11" s="287">
        <f>175000000-9533420</f>
        <v>165466580</v>
      </c>
      <c r="S11" s="287">
        <v>0</v>
      </c>
      <c r="T11" s="287">
        <v>0</v>
      </c>
      <c r="U11" s="275">
        <v>0</v>
      </c>
      <c r="V11" s="464" t="s">
        <v>736</v>
      </c>
      <c r="W11" s="464" t="s">
        <v>734</v>
      </c>
      <c r="X11" s="464" t="s">
        <v>737</v>
      </c>
      <c r="Y11" s="380" t="s">
        <v>735</v>
      </c>
    </row>
    <row r="12" spans="2:25" ht="143.25" customHeight="1" x14ac:dyDescent="0.3">
      <c r="B12" s="519" t="s">
        <v>276</v>
      </c>
      <c r="C12" s="500" t="s">
        <v>277</v>
      </c>
      <c r="D12" s="270" t="s">
        <v>278</v>
      </c>
      <c r="E12" s="271">
        <f>365*6</f>
        <v>2190</v>
      </c>
      <c r="F12" s="215">
        <f>365*6</f>
        <v>2190</v>
      </c>
      <c r="G12" s="271">
        <f>365*6</f>
        <v>2190</v>
      </c>
      <c r="H12" s="271">
        <f>365*6</f>
        <v>2190</v>
      </c>
      <c r="I12" s="273">
        <f t="shared" si="0"/>
        <v>8760</v>
      </c>
      <c r="J12" s="270" t="s">
        <v>282</v>
      </c>
      <c r="K12" s="270" t="s">
        <v>113</v>
      </c>
      <c r="L12" s="510">
        <v>4</v>
      </c>
      <c r="M12" s="500" t="s">
        <v>283</v>
      </c>
      <c r="N12" s="272" t="s">
        <v>287</v>
      </c>
      <c r="O12" s="151">
        <f>365*6</f>
        <v>2190</v>
      </c>
      <c r="P12" s="270" t="s">
        <v>290</v>
      </c>
      <c r="Q12" s="518">
        <f>R12+S12+T12</f>
        <v>0</v>
      </c>
      <c r="R12" s="692">
        <v>0</v>
      </c>
      <c r="S12" s="692">
        <v>0</v>
      </c>
      <c r="T12" s="692">
        <v>0</v>
      </c>
      <c r="U12" s="692">
        <f>1093937186+216462493+9438355</f>
        <v>1319838034</v>
      </c>
      <c r="V12" s="476" t="s">
        <v>628</v>
      </c>
      <c r="W12" s="553" t="s">
        <v>738</v>
      </c>
      <c r="X12" s="553" t="s">
        <v>740</v>
      </c>
      <c r="Y12" s="543" t="s">
        <v>741</v>
      </c>
    </row>
    <row r="13" spans="2:25" ht="186" customHeight="1" x14ac:dyDescent="0.3">
      <c r="B13" s="519"/>
      <c r="C13" s="500"/>
      <c r="D13" s="270" t="s">
        <v>279</v>
      </c>
      <c r="E13" s="215">
        <v>25</v>
      </c>
      <c r="F13" s="69">
        <v>1</v>
      </c>
      <c r="G13" s="69">
        <v>1</v>
      </c>
      <c r="H13" s="69">
        <v>1</v>
      </c>
      <c r="I13" s="69">
        <v>1</v>
      </c>
      <c r="J13" s="270" t="s">
        <v>282</v>
      </c>
      <c r="K13" s="270" t="s">
        <v>113</v>
      </c>
      <c r="L13" s="510"/>
      <c r="M13" s="500"/>
      <c r="N13" s="285" t="s">
        <v>379</v>
      </c>
      <c r="O13" s="69">
        <v>1</v>
      </c>
      <c r="P13" s="270" t="s">
        <v>290</v>
      </c>
      <c r="Q13" s="518"/>
      <c r="R13" s="692"/>
      <c r="S13" s="692"/>
      <c r="T13" s="692"/>
      <c r="U13" s="692"/>
      <c r="V13" s="383" t="s">
        <v>739</v>
      </c>
      <c r="W13" s="555"/>
      <c r="X13" s="761"/>
      <c r="Y13" s="543"/>
    </row>
    <row r="14" spans="2:25" ht="178.5" x14ac:dyDescent="0.3">
      <c r="B14" s="519"/>
      <c r="C14" s="270" t="s">
        <v>280</v>
      </c>
      <c r="D14" s="270" t="s">
        <v>281</v>
      </c>
      <c r="E14" s="299">
        <v>365</v>
      </c>
      <c r="F14" s="474">
        <v>1251</v>
      </c>
      <c r="G14" s="474">
        <v>1251</v>
      </c>
      <c r="H14" s="474">
        <v>1251</v>
      </c>
      <c r="I14" s="273">
        <f t="shared" si="0"/>
        <v>4118</v>
      </c>
      <c r="J14" s="270" t="s">
        <v>282</v>
      </c>
      <c r="K14" s="270" t="s">
        <v>113</v>
      </c>
      <c r="L14" s="351">
        <v>5</v>
      </c>
      <c r="M14" s="270" t="s">
        <v>284</v>
      </c>
      <c r="N14" s="272" t="s">
        <v>288</v>
      </c>
      <c r="O14" s="474">
        <v>1251</v>
      </c>
      <c r="P14" s="270" t="s">
        <v>290</v>
      </c>
      <c r="Q14" s="277">
        <f>R14+S14+T14</f>
        <v>0</v>
      </c>
      <c r="R14" s="275">
        <v>0</v>
      </c>
      <c r="S14" s="275">
        <v>0</v>
      </c>
      <c r="T14" s="275">
        <v>0</v>
      </c>
      <c r="U14" s="275">
        <v>0</v>
      </c>
      <c r="V14" s="464" t="s">
        <v>743</v>
      </c>
      <c r="W14" s="465" t="s">
        <v>599</v>
      </c>
      <c r="X14" s="464" t="s">
        <v>745</v>
      </c>
      <c r="Y14" s="380" t="s">
        <v>744</v>
      </c>
    </row>
    <row r="15" spans="2:25" x14ac:dyDescent="0.3">
      <c r="B15" s="759" t="s">
        <v>53</v>
      </c>
      <c r="C15" s="759"/>
      <c r="D15" s="759"/>
      <c r="E15" s="759"/>
      <c r="F15" s="759"/>
      <c r="G15" s="759"/>
      <c r="H15" s="759"/>
      <c r="I15" s="759"/>
      <c r="J15" s="759"/>
      <c r="K15" s="759"/>
      <c r="L15" s="759"/>
      <c r="M15" s="759"/>
      <c r="N15" s="759"/>
      <c r="O15" s="759"/>
      <c r="P15" s="759"/>
      <c r="Q15" s="175">
        <f>SUM(R15:T15)</f>
        <v>321466580</v>
      </c>
      <c r="R15" s="175">
        <f>SUBTOTAL(9,R2:R14)</f>
        <v>321466580</v>
      </c>
      <c r="S15" s="175">
        <f>SUBTOTAL(9,S2:S14)</f>
        <v>0</v>
      </c>
      <c r="T15" s="175">
        <f>SUBTOTAL(9,T2:T14)</f>
        <v>0</v>
      </c>
      <c r="U15" s="175">
        <f>SUBTOTAL(9,U4:U14)</f>
        <v>1319838034</v>
      </c>
    </row>
    <row r="16" spans="2:25" ht="30" customHeight="1" x14ac:dyDescent="0.3">
      <c r="B16" s="562" t="s">
        <v>742</v>
      </c>
      <c r="C16" s="562"/>
      <c r="D16" s="562"/>
      <c r="E16" s="562"/>
      <c r="F16" s="562"/>
      <c r="G16" s="562"/>
      <c r="H16" s="562"/>
      <c r="I16" s="562"/>
      <c r="J16" s="562"/>
      <c r="K16" s="562"/>
      <c r="L16" s="562"/>
      <c r="M16" s="562"/>
      <c r="N16" s="562"/>
      <c r="O16" s="562"/>
      <c r="P16" s="562"/>
      <c r="Q16" s="562"/>
      <c r="R16" s="562"/>
      <c r="S16" s="562"/>
      <c r="T16" s="562"/>
      <c r="U16" s="562"/>
    </row>
    <row r="17" spans="2:22" x14ac:dyDescent="0.3">
      <c r="B17" s="297" t="s">
        <v>393</v>
      </c>
      <c r="P17" s="318"/>
      <c r="Q17" s="315"/>
      <c r="R17" s="319"/>
      <c r="V17" s="315"/>
    </row>
  </sheetData>
  <mergeCells count="26">
    <mergeCell ref="X7:X8"/>
    <mergeCell ref="B9:B11"/>
    <mergeCell ref="B12:B14"/>
    <mergeCell ref="C12:C13"/>
    <mergeCell ref="L12:L13"/>
    <mergeCell ref="M12:M13"/>
    <mergeCell ref="B7:J7"/>
    <mergeCell ref="L7:P7"/>
    <mergeCell ref="Q7:T7"/>
    <mergeCell ref="U7:U8"/>
    <mergeCell ref="V7:W7"/>
    <mergeCell ref="V6:X6"/>
    <mergeCell ref="N2:U2"/>
    <mergeCell ref="N3:U3"/>
    <mergeCell ref="B5:U5"/>
    <mergeCell ref="B6:U6"/>
    <mergeCell ref="Y12:Y13"/>
    <mergeCell ref="W12:W13"/>
    <mergeCell ref="X12:X13"/>
    <mergeCell ref="B16:U16"/>
    <mergeCell ref="R12:R13"/>
    <mergeCell ref="S12:S13"/>
    <mergeCell ref="T12:T13"/>
    <mergeCell ref="U12:U13"/>
    <mergeCell ref="B15:P15"/>
    <mergeCell ref="Q12:Q13"/>
  </mergeCells>
  <conditionalFormatting sqref="E9:H9">
    <cfRule type="expression" dxfId="19" priority="12" stopIfTrue="1">
      <formula>+IF((#REF!+#REF!+#REF!+#REF!+#REF!)&lt;&gt;$J9,1,0)</formula>
    </cfRule>
  </conditionalFormatting>
  <conditionalFormatting sqref="E10:H10">
    <cfRule type="expression" dxfId="18" priority="11" stopIfTrue="1">
      <formula>+IF((#REF!+#REF!+#REF!+#REF!+#REF!)&lt;&gt;$J10,1,0)</formula>
    </cfRule>
  </conditionalFormatting>
  <conditionalFormatting sqref="E11:H11">
    <cfRule type="expression" dxfId="17" priority="10" stopIfTrue="1">
      <formula>+IF((#REF!+#REF!+#REF!+#REF!+#REF!)&lt;&gt;$J11,1,0)</formula>
    </cfRule>
  </conditionalFormatting>
  <conditionalFormatting sqref="E12:H12">
    <cfRule type="expression" dxfId="16" priority="9" stopIfTrue="1">
      <formula>+IF((#REF!+#REF!+#REF!+#REF!+#REF!)&lt;&gt;$J12,1,0)</formula>
    </cfRule>
  </conditionalFormatting>
  <conditionalFormatting sqref="E13:H13">
    <cfRule type="expression" dxfId="15" priority="8" stopIfTrue="1">
      <formula>+IF((#REF!+#REF!+#REF!+#REF!+#REF!)&lt;&gt;$J13,1,0)</formula>
    </cfRule>
  </conditionalFormatting>
  <conditionalFormatting sqref="E14:H14">
    <cfRule type="expression" dxfId="14" priority="7" stopIfTrue="1">
      <formula>+IF((#REF!+#REF!+#REF!+#REF!+#REF!)&lt;&gt;$J14,1,0)</formula>
    </cfRule>
  </conditionalFormatting>
  <conditionalFormatting sqref="O9">
    <cfRule type="expression" dxfId="13" priority="6" stopIfTrue="1">
      <formula>+IF((#REF!+#REF!+#REF!+#REF!+#REF!)&lt;&gt;$L9,1,0)</formula>
    </cfRule>
  </conditionalFormatting>
  <conditionalFormatting sqref="O10">
    <cfRule type="expression" dxfId="12" priority="5" stopIfTrue="1">
      <formula>+IF((#REF!+#REF!+#REF!+#REF!+#REF!)&lt;&gt;$L10,1,0)</formula>
    </cfRule>
  </conditionalFormatting>
  <conditionalFormatting sqref="O11">
    <cfRule type="expression" dxfId="11" priority="4" stopIfTrue="1">
      <formula>+IF((#REF!+#REF!+#REF!+#REF!+#REF!)&lt;&gt;$L11,1,0)</formula>
    </cfRule>
  </conditionalFormatting>
  <conditionalFormatting sqref="O14">
    <cfRule type="expression" dxfId="10" priority="3" stopIfTrue="1">
      <formula>+IF((#REF!+#REF!+#REF!+#REF!+#REF!)&lt;&gt;$L14,1,0)</formula>
    </cfRule>
  </conditionalFormatting>
  <conditionalFormatting sqref="I13">
    <cfRule type="expression" dxfId="9" priority="2" stopIfTrue="1">
      <formula>+IF((#REF!+#REF!+#REF!+#REF!+#REF!)&lt;&gt;$J13,1,0)</formula>
    </cfRule>
  </conditionalFormatting>
  <conditionalFormatting sqref="O13">
    <cfRule type="expression" dxfId="8" priority="1" stopIfTrue="1">
      <formula>+IF((#REF!+#REF!+#REF!+#REF!+#REF!)&lt;&gt;$J13,1,0)</formula>
    </cfRule>
  </conditionalFormatting>
  <dataValidations count="4">
    <dataValidation type="list" allowBlank="1" showInputMessage="1" showErrorMessage="1" sqref="P10:P14">
      <formula1>$Q$28:$Q$53</formula1>
    </dataValidation>
    <dataValidation type="list" allowBlank="1" showInputMessage="1" showErrorMessage="1" sqref="P9">
      <formula1>$P$27:$P$52</formula1>
    </dataValidation>
    <dataValidation type="list" allowBlank="1" showInputMessage="1" showErrorMessage="1" sqref="K9:K14">
      <formula1>$G$22:$G$25</formula1>
    </dataValidation>
    <dataValidation type="list" allowBlank="1" showInputMessage="1" showErrorMessage="1" sqref="J9:J14">
      <formula1>$S$27:$S$35</formula1>
    </dataValidation>
  </dataValidations>
  <pageMargins left="0.7" right="0.7" top="0.75" bottom="0.75" header="0.3" footer="0.3"/>
  <pageSetup orientation="portrait" r:id="rId1"/>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V31"/>
  <sheetViews>
    <sheetView topLeftCell="A14" zoomScale="90" zoomScaleNormal="90" workbookViewId="0">
      <selection activeCell="Y8" sqref="Y8:Y9"/>
    </sheetView>
  </sheetViews>
  <sheetFormatPr baseColWidth="10" defaultRowHeight="15" x14ac:dyDescent="0.25"/>
  <cols>
    <col min="2" max="2" width="20.140625" customWidth="1"/>
    <col min="3" max="3" width="20.5703125" customWidth="1"/>
    <col min="4" max="4" width="22.42578125" customWidth="1"/>
    <col min="5" max="5" width="5.42578125" customWidth="1"/>
    <col min="6" max="6" width="4.7109375" customWidth="1"/>
    <col min="7" max="7" width="5" customWidth="1"/>
    <col min="8" max="8" width="5.140625" customWidth="1"/>
    <col min="9" max="9" width="10.140625" customWidth="1"/>
    <col min="11" max="11" width="16.140625" customWidth="1"/>
    <col min="12" max="12" width="5.85546875" customWidth="1"/>
    <col min="13" max="13" width="25.28515625" customWidth="1"/>
    <col min="14" max="14" width="16.140625" customWidth="1"/>
    <col min="15" max="15" width="8.7109375" customWidth="1"/>
    <col min="16" max="16" width="20.28515625" customWidth="1"/>
    <col min="17" max="17" width="16.7109375" bestFit="1" customWidth="1"/>
    <col min="18" max="18" width="18.140625" customWidth="1"/>
    <col min="19" max="19" width="15.140625" customWidth="1"/>
    <col min="20" max="20" width="18.28515625" customWidth="1"/>
    <col min="21" max="21" width="20.7109375" customWidth="1"/>
    <col min="22" max="22" width="17.7109375" bestFit="1" customWidth="1"/>
    <col min="25" max="25" width="12" bestFit="1" customWidth="1"/>
    <col min="26" max="26" width="19.140625" customWidth="1"/>
  </cols>
  <sheetData>
    <row r="1" spans="2:21" ht="50.25" customHeight="1" x14ac:dyDescent="0.25">
      <c r="M1" s="584" t="s">
        <v>0</v>
      </c>
      <c r="N1" s="584"/>
      <c r="O1" s="584"/>
      <c r="P1" s="584"/>
      <c r="Q1" s="584"/>
      <c r="R1" s="584"/>
      <c r="S1" s="584"/>
      <c r="T1" s="584"/>
      <c r="U1" s="584"/>
    </row>
    <row r="2" spans="2:21" ht="24" customHeight="1" x14ac:dyDescent="0.25">
      <c r="M2" s="778" t="s">
        <v>346</v>
      </c>
      <c r="N2" s="778"/>
      <c r="O2" s="778"/>
      <c r="P2" s="778"/>
      <c r="Q2" s="778"/>
      <c r="R2" s="778"/>
      <c r="S2" s="778"/>
      <c r="T2" s="778"/>
      <c r="U2" s="778"/>
    </row>
    <row r="3" spans="2:21" ht="16.5" x14ac:dyDescent="0.25">
      <c r="B3" s="523" t="s">
        <v>23</v>
      </c>
      <c r="C3" s="523"/>
      <c r="D3" s="523"/>
      <c r="E3" s="523"/>
      <c r="F3" s="523"/>
      <c r="G3" s="523"/>
      <c r="H3" s="523"/>
      <c r="I3" s="523"/>
      <c r="J3" s="523"/>
      <c r="K3" s="523"/>
      <c r="L3" s="523"/>
      <c r="M3" s="523"/>
      <c r="N3" s="523"/>
      <c r="O3" s="523"/>
      <c r="P3" s="523"/>
      <c r="Q3" s="523"/>
      <c r="R3" s="523"/>
      <c r="S3" s="523"/>
      <c r="T3" s="523"/>
      <c r="U3" s="523"/>
    </row>
    <row r="4" spans="2:21" ht="16.5" x14ac:dyDescent="0.25">
      <c r="B4" s="523" t="s">
        <v>154</v>
      </c>
      <c r="C4" s="523"/>
      <c r="D4" s="523"/>
      <c r="E4" s="523"/>
      <c r="F4" s="523"/>
      <c r="G4" s="523"/>
      <c r="H4" s="523"/>
      <c r="I4" s="523"/>
      <c r="J4" s="523"/>
      <c r="K4" s="523"/>
      <c r="L4" s="523"/>
      <c r="M4" s="523"/>
      <c r="N4" s="523"/>
      <c r="O4" s="523"/>
      <c r="P4" s="523"/>
      <c r="Q4" s="523"/>
      <c r="R4" s="523"/>
      <c r="S4" s="523"/>
      <c r="T4" s="523"/>
      <c r="U4" s="523"/>
    </row>
    <row r="5" spans="2:21" ht="16.5" x14ac:dyDescent="0.25">
      <c r="B5" s="523" t="s">
        <v>155</v>
      </c>
      <c r="C5" s="523"/>
      <c r="D5" s="523"/>
      <c r="E5" s="523"/>
      <c r="F5" s="523"/>
      <c r="G5" s="523"/>
      <c r="H5" s="523"/>
      <c r="I5" s="523"/>
      <c r="J5" s="523"/>
      <c r="K5" s="523"/>
      <c r="L5" s="523"/>
      <c r="M5" s="523"/>
      <c r="N5" s="523"/>
      <c r="O5" s="523"/>
      <c r="P5" s="523"/>
      <c r="Q5" s="523"/>
      <c r="R5" s="523"/>
      <c r="S5" s="523"/>
      <c r="T5" s="523"/>
      <c r="U5" s="523"/>
    </row>
    <row r="6" spans="2:21" x14ac:dyDescent="0.25">
      <c r="B6" s="517" t="s">
        <v>3</v>
      </c>
      <c r="C6" s="517"/>
      <c r="D6" s="517"/>
      <c r="E6" s="517"/>
      <c r="F6" s="517"/>
      <c r="G6" s="517"/>
      <c r="H6" s="517"/>
      <c r="I6" s="517"/>
      <c r="J6" s="517"/>
      <c r="K6" s="84"/>
      <c r="L6" s="517" t="s">
        <v>32</v>
      </c>
      <c r="M6" s="517"/>
      <c r="N6" s="517"/>
      <c r="O6" s="517"/>
      <c r="P6" s="517"/>
      <c r="Q6" s="511" t="s">
        <v>4</v>
      </c>
      <c r="R6" s="511"/>
      <c r="S6" s="511"/>
      <c r="T6" s="511"/>
      <c r="U6" s="522" t="s">
        <v>40</v>
      </c>
    </row>
    <row r="7" spans="2:21" ht="42.75" customHeight="1" x14ac:dyDescent="0.25">
      <c r="B7" s="85" t="s">
        <v>51</v>
      </c>
      <c r="C7" s="85" t="s">
        <v>12</v>
      </c>
      <c r="D7" s="85" t="s">
        <v>52</v>
      </c>
      <c r="E7" s="85" t="s">
        <v>24</v>
      </c>
      <c r="F7" s="85" t="s">
        <v>25</v>
      </c>
      <c r="G7" s="85" t="s">
        <v>26</v>
      </c>
      <c r="H7" s="85" t="s">
        <v>27</v>
      </c>
      <c r="I7" s="85" t="s">
        <v>28</v>
      </c>
      <c r="J7" s="85" t="s">
        <v>29</v>
      </c>
      <c r="K7" s="85" t="s">
        <v>47</v>
      </c>
      <c r="L7" s="86" t="s">
        <v>14</v>
      </c>
      <c r="M7" s="86" t="s">
        <v>31</v>
      </c>
      <c r="N7" s="86" t="s">
        <v>15</v>
      </c>
      <c r="O7" s="86" t="s">
        <v>16</v>
      </c>
      <c r="P7" s="85" t="s">
        <v>48</v>
      </c>
      <c r="Q7" s="86" t="s">
        <v>17</v>
      </c>
      <c r="R7" s="86" t="s">
        <v>18</v>
      </c>
      <c r="S7" s="86" t="s">
        <v>19</v>
      </c>
      <c r="T7" s="198" t="s">
        <v>361</v>
      </c>
      <c r="U7" s="522"/>
    </row>
    <row r="8" spans="2:21" ht="27" x14ac:dyDescent="0.25">
      <c r="B8" s="780" t="s">
        <v>327</v>
      </c>
      <c r="C8" s="580" t="s">
        <v>328</v>
      </c>
      <c r="D8" s="59" t="s">
        <v>329</v>
      </c>
      <c r="E8" s="300">
        <v>1</v>
      </c>
      <c r="F8" s="156">
        <v>0</v>
      </c>
      <c r="G8" s="156">
        <v>0</v>
      </c>
      <c r="H8" s="156">
        <v>0</v>
      </c>
      <c r="I8" s="153">
        <f t="shared" ref="I8:I15" si="0">SUM(E8:H8)</f>
        <v>1</v>
      </c>
      <c r="J8" s="59" t="s">
        <v>322</v>
      </c>
      <c r="K8" s="502"/>
      <c r="L8" s="686">
        <v>1</v>
      </c>
      <c r="M8" s="502" t="s">
        <v>352</v>
      </c>
      <c r="N8" s="502" t="s">
        <v>345</v>
      </c>
      <c r="O8" s="779">
        <v>1</v>
      </c>
      <c r="P8" s="502" t="s">
        <v>164</v>
      </c>
      <c r="Q8" s="575">
        <f>R8+S8+T8</f>
        <v>3440615210</v>
      </c>
      <c r="R8" s="692">
        <f>3500000000-129384790-1100000000+370000000-300000000</f>
        <v>2340615210</v>
      </c>
      <c r="S8" s="692">
        <v>0</v>
      </c>
      <c r="T8" s="692">
        <v>1100000000</v>
      </c>
      <c r="U8" s="512">
        <v>0</v>
      </c>
    </row>
    <row r="9" spans="2:21" ht="33.6" customHeight="1" x14ac:dyDescent="0.25">
      <c r="B9" s="780"/>
      <c r="C9" s="580"/>
      <c r="D9" s="59" t="s">
        <v>330</v>
      </c>
      <c r="E9" s="154">
        <v>0</v>
      </c>
      <c r="F9" s="154">
        <v>2</v>
      </c>
      <c r="G9" s="154">
        <v>4</v>
      </c>
      <c r="H9" s="154">
        <v>2</v>
      </c>
      <c r="I9" s="150">
        <f t="shared" si="0"/>
        <v>8</v>
      </c>
      <c r="J9" s="59" t="s">
        <v>322</v>
      </c>
      <c r="K9" s="502"/>
      <c r="L9" s="686"/>
      <c r="M9" s="502"/>
      <c r="N9" s="502"/>
      <c r="O9" s="779"/>
      <c r="P9" s="502"/>
      <c r="Q9" s="575"/>
      <c r="R9" s="692"/>
      <c r="S9" s="692"/>
      <c r="T9" s="692"/>
      <c r="U9" s="512"/>
    </row>
    <row r="10" spans="2:21" ht="63" customHeight="1" x14ac:dyDescent="0.25">
      <c r="B10" s="780"/>
      <c r="C10" s="580" t="s">
        <v>331</v>
      </c>
      <c r="D10" s="60" t="s">
        <v>332</v>
      </c>
      <c r="E10" s="298">
        <v>1</v>
      </c>
      <c r="F10" s="157">
        <v>0</v>
      </c>
      <c r="G10" s="157">
        <v>0</v>
      </c>
      <c r="H10" s="157">
        <v>0</v>
      </c>
      <c r="I10" s="150">
        <f t="shared" si="0"/>
        <v>1</v>
      </c>
      <c r="J10" s="59" t="s">
        <v>322</v>
      </c>
      <c r="K10" s="490" t="s">
        <v>168</v>
      </c>
      <c r="L10" s="686">
        <v>2</v>
      </c>
      <c r="M10" s="580" t="s">
        <v>331</v>
      </c>
      <c r="N10" s="220" t="s">
        <v>383</v>
      </c>
      <c r="O10" s="158">
        <v>1</v>
      </c>
      <c r="P10" s="59" t="s">
        <v>164</v>
      </c>
      <c r="Q10" s="766">
        <f>R10+S10+T10</f>
        <v>620000000</v>
      </c>
      <c r="R10" s="693">
        <f>320000000+300000000</f>
        <v>620000000</v>
      </c>
      <c r="S10" s="693">
        <v>0</v>
      </c>
      <c r="T10" s="693">
        <v>0</v>
      </c>
      <c r="U10" s="586">
        <v>68360000</v>
      </c>
    </row>
    <row r="11" spans="2:21" ht="58.5" customHeight="1" x14ac:dyDescent="0.25">
      <c r="B11" s="780"/>
      <c r="C11" s="580"/>
      <c r="D11" s="59" t="s">
        <v>333</v>
      </c>
      <c r="E11" s="298">
        <v>720</v>
      </c>
      <c r="F11" s="56">
        <v>720</v>
      </c>
      <c r="G11" s="56">
        <v>720</v>
      </c>
      <c r="H11" s="56">
        <v>720</v>
      </c>
      <c r="I11" s="58">
        <f t="shared" si="0"/>
        <v>2880</v>
      </c>
      <c r="J11" s="59" t="s">
        <v>322</v>
      </c>
      <c r="K11" s="490"/>
      <c r="L11" s="686"/>
      <c r="M11" s="580"/>
      <c r="N11" s="59" t="s">
        <v>333</v>
      </c>
      <c r="O11" s="159">
        <v>720</v>
      </c>
      <c r="P11" s="59" t="s">
        <v>164</v>
      </c>
      <c r="Q11" s="767"/>
      <c r="R11" s="764"/>
      <c r="S11" s="764"/>
      <c r="T11" s="764"/>
      <c r="U11" s="777"/>
    </row>
    <row r="12" spans="2:21" ht="52.5" customHeight="1" x14ac:dyDescent="0.25">
      <c r="B12" s="780"/>
      <c r="C12" s="580"/>
      <c r="D12" s="502" t="s">
        <v>334</v>
      </c>
      <c r="E12" s="573">
        <v>2</v>
      </c>
      <c r="F12" s="573">
        <v>2</v>
      </c>
      <c r="G12" s="573">
        <v>2</v>
      </c>
      <c r="H12" s="573">
        <v>2</v>
      </c>
      <c r="I12" s="769">
        <f t="shared" si="0"/>
        <v>8</v>
      </c>
      <c r="J12" s="490" t="s">
        <v>322</v>
      </c>
      <c r="K12" s="490"/>
      <c r="L12" s="686"/>
      <c r="M12" s="580"/>
      <c r="N12" s="59" t="s">
        <v>334</v>
      </c>
      <c r="O12" s="158">
        <v>2</v>
      </c>
      <c r="P12" s="59" t="s">
        <v>164</v>
      </c>
      <c r="Q12" s="767"/>
      <c r="R12" s="764"/>
      <c r="S12" s="764"/>
      <c r="T12" s="764"/>
      <c r="U12" s="777"/>
    </row>
    <row r="13" spans="2:21" ht="52.5" customHeight="1" x14ac:dyDescent="0.25">
      <c r="B13" s="780"/>
      <c r="C13" s="580"/>
      <c r="D13" s="502"/>
      <c r="E13" s="573"/>
      <c r="F13" s="573"/>
      <c r="G13" s="573"/>
      <c r="H13" s="573"/>
      <c r="I13" s="769"/>
      <c r="J13" s="490"/>
      <c r="K13" s="490"/>
      <c r="L13" s="686"/>
      <c r="M13" s="580"/>
      <c r="N13" s="59" t="s">
        <v>368</v>
      </c>
      <c r="O13" s="211">
        <v>7</v>
      </c>
      <c r="P13" s="59" t="s">
        <v>164</v>
      </c>
      <c r="Q13" s="767"/>
      <c r="R13" s="764"/>
      <c r="S13" s="764"/>
      <c r="T13" s="764"/>
      <c r="U13" s="777"/>
    </row>
    <row r="14" spans="2:21" ht="66.75" customHeight="1" x14ac:dyDescent="0.25">
      <c r="B14" s="780"/>
      <c r="C14" s="580"/>
      <c r="D14" s="502"/>
      <c r="E14" s="573"/>
      <c r="F14" s="573"/>
      <c r="G14" s="573"/>
      <c r="H14" s="573"/>
      <c r="I14" s="769"/>
      <c r="J14" s="490"/>
      <c r="K14" s="490"/>
      <c r="L14" s="686"/>
      <c r="M14" s="580"/>
      <c r="N14" s="218" t="s">
        <v>384</v>
      </c>
      <c r="O14" s="211">
        <v>1</v>
      </c>
      <c r="P14" s="59" t="s">
        <v>164</v>
      </c>
      <c r="Q14" s="768"/>
      <c r="R14" s="694"/>
      <c r="S14" s="694"/>
      <c r="T14" s="694"/>
      <c r="U14" s="587"/>
    </row>
    <row r="15" spans="2:21" ht="50.25" customHeight="1" x14ac:dyDescent="0.25">
      <c r="B15" s="780"/>
      <c r="C15" s="580" t="s">
        <v>335</v>
      </c>
      <c r="D15" s="502" t="s">
        <v>336</v>
      </c>
      <c r="E15" s="765">
        <v>1</v>
      </c>
      <c r="F15" s="573">
        <v>0</v>
      </c>
      <c r="G15" s="573">
        <v>0</v>
      </c>
      <c r="H15" s="573">
        <v>0</v>
      </c>
      <c r="I15" s="769">
        <f t="shared" si="0"/>
        <v>1</v>
      </c>
      <c r="J15" s="490" t="s">
        <v>322</v>
      </c>
      <c r="K15" s="502" t="s">
        <v>168</v>
      </c>
      <c r="L15" s="686">
        <v>3</v>
      </c>
      <c r="M15" s="502" t="s">
        <v>366</v>
      </c>
      <c r="N15" s="59" t="s">
        <v>337</v>
      </c>
      <c r="O15" s="160">
        <v>0.95</v>
      </c>
      <c r="P15" s="59" t="s">
        <v>338</v>
      </c>
      <c r="Q15" s="575">
        <f>SUM(R15:T15)</f>
        <v>0</v>
      </c>
      <c r="R15" s="692">
        <v>0</v>
      </c>
      <c r="S15" s="692">
        <v>0</v>
      </c>
      <c r="T15" s="692">
        <v>0</v>
      </c>
      <c r="U15" s="692">
        <v>440000000</v>
      </c>
    </row>
    <row r="16" spans="2:21" ht="50.25" customHeight="1" x14ac:dyDescent="0.25">
      <c r="B16" s="780"/>
      <c r="C16" s="580"/>
      <c r="D16" s="502"/>
      <c r="E16" s="765"/>
      <c r="F16" s="573"/>
      <c r="G16" s="573"/>
      <c r="H16" s="573"/>
      <c r="I16" s="769"/>
      <c r="J16" s="490"/>
      <c r="K16" s="502"/>
      <c r="L16" s="686"/>
      <c r="M16" s="502"/>
      <c r="N16" s="59" t="s">
        <v>339</v>
      </c>
      <c r="O16" s="160">
        <v>1</v>
      </c>
      <c r="P16" s="59" t="s">
        <v>338</v>
      </c>
      <c r="Q16" s="575"/>
      <c r="R16" s="692"/>
      <c r="S16" s="692"/>
      <c r="T16" s="692"/>
      <c r="U16" s="692"/>
    </row>
    <row r="17" spans="2:22" ht="23.25" customHeight="1" x14ac:dyDescent="0.25">
      <c r="B17" s="780"/>
      <c r="C17" s="580"/>
      <c r="D17" s="502"/>
      <c r="E17" s="765"/>
      <c r="F17" s="573"/>
      <c r="G17" s="573"/>
      <c r="H17" s="573"/>
      <c r="I17" s="769"/>
      <c r="J17" s="490"/>
      <c r="K17" s="502"/>
      <c r="L17" s="686"/>
      <c r="M17" s="502"/>
      <c r="N17" s="492" t="s">
        <v>340</v>
      </c>
      <c r="O17" s="770">
        <v>1</v>
      </c>
      <c r="P17" s="504" t="s">
        <v>338</v>
      </c>
      <c r="Q17" s="575"/>
      <c r="R17" s="692"/>
      <c r="S17" s="692"/>
      <c r="T17" s="692"/>
      <c r="U17" s="692"/>
    </row>
    <row r="18" spans="2:22" ht="33.75" customHeight="1" x14ac:dyDescent="0.25">
      <c r="B18" s="780"/>
      <c r="C18" s="580"/>
      <c r="D18" s="59" t="s">
        <v>341</v>
      </c>
      <c r="E18" s="56">
        <v>1</v>
      </c>
      <c r="F18" s="202">
        <v>1</v>
      </c>
      <c r="G18" s="56">
        <v>1</v>
      </c>
      <c r="H18" s="56">
        <v>1</v>
      </c>
      <c r="I18" s="150">
        <f>SUM(E18:H18)</f>
        <v>4</v>
      </c>
      <c r="J18" s="59" t="s">
        <v>322</v>
      </c>
      <c r="K18" s="502"/>
      <c r="L18" s="686"/>
      <c r="M18" s="502"/>
      <c r="N18" s="493"/>
      <c r="O18" s="771"/>
      <c r="P18" s="505"/>
      <c r="Q18" s="575"/>
      <c r="R18" s="692"/>
      <c r="S18" s="692"/>
      <c r="T18" s="692"/>
      <c r="U18" s="692"/>
    </row>
    <row r="19" spans="2:22" ht="38.25" customHeight="1" x14ac:dyDescent="0.25">
      <c r="B19" s="780"/>
      <c r="C19" s="580"/>
      <c r="D19" s="60" t="s">
        <v>342</v>
      </c>
      <c r="E19" s="298">
        <v>1</v>
      </c>
      <c r="F19" s="56">
        <v>0</v>
      </c>
      <c r="G19" s="56">
        <v>0</v>
      </c>
      <c r="H19" s="56">
        <v>0</v>
      </c>
      <c r="I19" s="150">
        <f>SUM(E19:H19)</f>
        <v>1</v>
      </c>
      <c r="J19" s="59" t="s">
        <v>322</v>
      </c>
      <c r="K19" s="502"/>
      <c r="L19" s="686"/>
      <c r="M19" s="502"/>
      <c r="N19" s="495"/>
      <c r="O19" s="772"/>
      <c r="P19" s="506"/>
      <c r="Q19" s="575"/>
      <c r="R19" s="692"/>
      <c r="S19" s="692"/>
      <c r="T19" s="692"/>
      <c r="U19" s="692"/>
    </row>
    <row r="20" spans="2:22" ht="39.75" customHeight="1" x14ac:dyDescent="0.25">
      <c r="B20" s="780"/>
      <c r="C20" s="499" t="s">
        <v>343</v>
      </c>
      <c r="D20" s="71" t="s">
        <v>344</v>
      </c>
      <c r="E20" s="298">
        <v>1</v>
      </c>
      <c r="F20" s="56">
        <v>0</v>
      </c>
      <c r="G20" s="56">
        <v>0</v>
      </c>
      <c r="H20" s="56">
        <v>0</v>
      </c>
      <c r="I20" s="150">
        <v>1</v>
      </c>
      <c r="J20" s="76" t="s">
        <v>322</v>
      </c>
      <c r="K20" s="502" t="s">
        <v>168</v>
      </c>
      <c r="L20" s="686">
        <v>4</v>
      </c>
      <c r="M20" s="499" t="s">
        <v>363</v>
      </c>
      <c r="N20" s="683" t="s">
        <v>364</v>
      </c>
      <c r="O20" s="775">
        <v>1</v>
      </c>
      <c r="P20" s="773" t="s">
        <v>365</v>
      </c>
      <c r="Q20" s="774">
        <f>R20+S20+T20</f>
        <v>658663783</v>
      </c>
      <c r="R20" s="692">
        <v>658663783</v>
      </c>
      <c r="S20" s="692">
        <v>0</v>
      </c>
      <c r="T20" s="692">
        <v>0</v>
      </c>
      <c r="U20" s="692">
        <f>9591294166-53050000-8000000+9184900-19184000+2266887.65+1208079111-216462493-9438355-61000000-27000000-750005000</f>
        <v>9666685216.6499996</v>
      </c>
    </row>
    <row r="21" spans="2:22" ht="57.75" customHeight="1" x14ac:dyDescent="0.25">
      <c r="B21" s="780"/>
      <c r="C21" s="499"/>
      <c r="D21" s="68" t="s">
        <v>363</v>
      </c>
      <c r="E21" s="56">
        <v>1</v>
      </c>
      <c r="F21" s="202">
        <v>1</v>
      </c>
      <c r="G21" s="56">
        <v>1</v>
      </c>
      <c r="H21" s="56">
        <v>1</v>
      </c>
      <c r="I21" s="150">
        <v>4</v>
      </c>
      <c r="J21" s="76" t="s">
        <v>322</v>
      </c>
      <c r="K21" s="502"/>
      <c r="L21" s="686"/>
      <c r="M21" s="499"/>
      <c r="N21" s="685"/>
      <c r="O21" s="776"/>
      <c r="P21" s="773"/>
      <c r="Q21" s="774"/>
      <c r="R21" s="692"/>
      <c r="S21" s="692"/>
      <c r="T21" s="692"/>
      <c r="U21" s="692"/>
    </row>
    <row r="22" spans="2:22" ht="21.75" customHeight="1" x14ac:dyDescent="0.25">
      <c r="B22" s="759" t="s">
        <v>53</v>
      </c>
      <c r="C22" s="759"/>
      <c r="D22" s="759"/>
      <c r="E22" s="759"/>
      <c r="F22" s="759"/>
      <c r="G22" s="759"/>
      <c r="H22" s="759"/>
      <c r="I22" s="759"/>
      <c r="J22" s="759"/>
      <c r="K22" s="759"/>
      <c r="L22" s="759"/>
      <c r="M22" s="759"/>
      <c r="N22" s="759"/>
      <c r="O22" s="759"/>
      <c r="P22" s="759"/>
      <c r="Q22" s="175">
        <f>Q20+Q15+Q10+Q8</f>
        <v>4719278993</v>
      </c>
      <c r="R22" s="175">
        <f>R20+R15+R10+R8</f>
        <v>3619278993</v>
      </c>
      <c r="S22" s="175">
        <f>SUBTOTAL(9,S8:S21)</f>
        <v>0</v>
      </c>
      <c r="T22" s="175">
        <f>SUBTOTAL(9,T8:T21)</f>
        <v>1100000000</v>
      </c>
      <c r="U22" s="175">
        <f>U20+U15+U10+U8</f>
        <v>10175045216.65</v>
      </c>
      <c r="V22" s="166"/>
    </row>
    <row r="23" spans="2:22" x14ac:dyDescent="0.25">
      <c r="Q23" s="166"/>
      <c r="R23" s="166"/>
      <c r="S23" s="166"/>
      <c r="T23" s="166"/>
      <c r="U23" s="166"/>
      <c r="V23" s="167"/>
    </row>
    <row r="24" spans="2:22" ht="120" x14ac:dyDescent="0.25">
      <c r="B24" s="301" t="s">
        <v>393</v>
      </c>
      <c r="Q24" s="320" t="s">
        <v>404</v>
      </c>
      <c r="R24" s="320" t="s">
        <v>406</v>
      </c>
      <c r="S24" s="166"/>
      <c r="T24" s="320" t="s">
        <v>405</v>
      </c>
      <c r="U24" s="166"/>
    </row>
    <row r="26" spans="2:22" x14ac:dyDescent="0.25">
      <c r="M26" s="207"/>
      <c r="N26" s="201"/>
      <c r="P26" s="201"/>
      <c r="Q26" s="321"/>
      <c r="R26" s="166"/>
    </row>
    <row r="27" spans="2:22" x14ac:dyDescent="0.25">
      <c r="M27" s="207"/>
    </row>
    <row r="28" spans="2:22" x14ac:dyDescent="0.25">
      <c r="M28" s="207"/>
    </row>
    <row r="29" spans="2:22" x14ac:dyDescent="0.25">
      <c r="M29" s="207"/>
    </row>
    <row r="30" spans="2:22" x14ac:dyDescent="0.25">
      <c r="M30" s="207"/>
    </row>
    <row r="31" spans="2:22" x14ac:dyDescent="0.25">
      <c r="M31" s="208"/>
    </row>
  </sheetData>
  <mergeCells count="70">
    <mergeCell ref="U15:U19"/>
    <mergeCell ref="L15:L19"/>
    <mergeCell ref="M1:U1"/>
    <mergeCell ref="M2:U2"/>
    <mergeCell ref="U8:U9"/>
    <mergeCell ref="O8:O9"/>
    <mergeCell ref="P8:P9"/>
    <mergeCell ref="R8:R9"/>
    <mergeCell ref="T8:T9"/>
    <mergeCell ref="B3:U3"/>
    <mergeCell ref="B4:U4"/>
    <mergeCell ref="B5:U5"/>
    <mergeCell ref="L8:L9"/>
    <mergeCell ref="M8:M9"/>
    <mergeCell ref="U6:U7"/>
    <mergeCell ref="B8:B21"/>
    <mergeCell ref="Q6:T6"/>
    <mergeCell ref="N8:N9"/>
    <mergeCell ref="C15:C19"/>
    <mergeCell ref="N17:N19"/>
    <mergeCell ref="U20:U21"/>
    <mergeCell ref="Q20:Q21"/>
    <mergeCell ref="O20:O21"/>
    <mergeCell ref="R20:R21"/>
    <mergeCell ref="T10:T14"/>
    <mergeCell ref="U10:U14"/>
    <mergeCell ref="Q15:Q19"/>
    <mergeCell ref="R15:R19"/>
    <mergeCell ref="S15:S19"/>
    <mergeCell ref="T15:T19"/>
    <mergeCell ref="S20:S21"/>
    <mergeCell ref="T20:T21"/>
    <mergeCell ref="B22:P22"/>
    <mergeCell ref="L10:L14"/>
    <mergeCell ref="K10:K14"/>
    <mergeCell ref="J12:J14"/>
    <mergeCell ref="I12:I14"/>
    <mergeCell ref="H12:H14"/>
    <mergeCell ref="G12:G14"/>
    <mergeCell ref="F12:F14"/>
    <mergeCell ref="E12:E14"/>
    <mergeCell ref="N20:N21"/>
    <mergeCell ref="P20:P21"/>
    <mergeCell ref="C20:C21"/>
    <mergeCell ref="K20:K21"/>
    <mergeCell ref="L20:L21"/>
    <mergeCell ref="M20:M21"/>
    <mergeCell ref="M10:M14"/>
    <mergeCell ref="S10:S14"/>
    <mergeCell ref="B6:J6"/>
    <mergeCell ref="L6:P6"/>
    <mergeCell ref="E15:E17"/>
    <mergeCell ref="F15:F17"/>
    <mergeCell ref="Q10:Q14"/>
    <mergeCell ref="S8:S9"/>
    <mergeCell ref="Q8:Q9"/>
    <mergeCell ref="D12:D14"/>
    <mergeCell ref="G15:G17"/>
    <mergeCell ref="R10:R14"/>
    <mergeCell ref="I15:I17"/>
    <mergeCell ref="J15:J17"/>
    <mergeCell ref="K15:K19"/>
    <mergeCell ref="O17:O19"/>
    <mergeCell ref="P17:P19"/>
    <mergeCell ref="C8:C9"/>
    <mergeCell ref="K8:K9"/>
    <mergeCell ref="D15:D17"/>
    <mergeCell ref="M15:M19"/>
    <mergeCell ref="H15:H17"/>
    <mergeCell ref="C10:C14"/>
  </mergeCells>
  <conditionalFormatting sqref="E9:H9">
    <cfRule type="expression" dxfId="7" priority="3" stopIfTrue="1">
      <formula>+IF((#REF!+#REF!+#REF!+#REF!+#REF!)&lt;&gt;$E9,1,0)</formula>
    </cfRule>
  </conditionalFormatting>
  <conditionalFormatting sqref="F11:H11">
    <cfRule type="expression" dxfId="6" priority="1" stopIfTrue="1">
      <formula>+IF((#REF!+#REF!+#REF!+#REF!+#REF!)&lt;&gt;$E11,1,0)</formula>
    </cfRule>
  </conditionalFormatting>
  <conditionalFormatting sqref="E10:H12">
    <cfRule type="expression" dxfId="5" priority="2" stopIfTrue="1">
      <formula>+IF((#REF!+#REF!+#REF!+#REF!+#REF!)&lt;&gt;$E10,1,0)</formula>
    </cfRule>
  </conditionalFormatting>
  <dataValidations count="6">
    <dataValidation type="list" allowBlank="1" showInputMessage="1" showErrorMessage="1" sqref="P8 P20 P11:P17">
      <formula1>#REF!</formula1>
    </dataValidation>
    <dataValidation type="list" allowBlank="1" showInputMessage="1" showErrorMessage="1" sqref="K15">
      <formula1>$B$26:$B$26</formula1>
    </dataValidation>
    <dataValidation type="list" allowBlank="1" showInputMessage="1" showErrorMessage="1" sqref="J8:J9 J15 J18:J21">
      <formula1>$N$25:$N$26</formula1>
    </dataValidation>
    <dataValidation type="list" allowBlank="1" showInputMessage="1" showErrorMessage="1" sqref="J10:J12">
      <formula1>$N$26:$N$26</formula1>
    </dataValidation>
    <dataValidation type="list" allowBlank="1" showInputMessage="1" showErrorMessage="1" sqref="P10">
      <formula1>#REF!</formula1>
    </dataValidation>
    <dataValidation type="list" allowBlank="1" showInputMessage="1" showErrorMessage="1" sqref="K10 K8">
      <formula1>#REF!</formula1>
    </dataValidation>
  </dataValidations>
  <pageMargins left="0.7" right="0.7" top="0.75" bottom="0.75" header="0.3" footer="0.3"/>
  <pageSetup orientation="portrait" r:id="rId1"/>
  <ignoredErrors>
    <ignoredError sqref="I8 Q10:R10 Q8:R8 Q20" unlockedFormula="1"/>
    <ignoredError sqref="Q15" formulaRange="1" unlockedFormula="1"/>
  </ignoredErrors>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Z27"/>
  <sheetViews>
    <sheetView topLeftCell="V17" zoomScale="80" zoomScaleNormal="80" workbookViewId="0">
      <selection activeCell="X20" sqref="X20:X21"/>
    </sheetView>
  </sheetViews>
  <sheetFormatPr baseColWidth="10" defaultRowHeight="15" x14ac:dyDescent="0.25"/>
  <cols>
    <col min="2" max="2" width="20.140625" customWidth="1"/>
    <col min="3" max="3" width="20.5703125" customWidth="1"/>
    <col min="4" max="4" width="22.42578125" customWidth="1"/>
    <col min="5" max="5" width="5.42578125" customWidth="1"/>
    <col min="6" max="6" width="4.7109375" customWidth="1"/>
    <col min="7" max="7" width="5" customWidth="1"/>
    <col min="8" max="8" width="5.140625" customWidth="1"/>
    <col min="9" max="9" width="10.140625" customWidth="1"/>
    <col min="11" max="11" width="20.140625" customWidth="1"/>
    <col min="12" max="12" width="5.85546875" customWidth="1"/>
    <col min="13" max="13" width="25.28515625" customWidth="1"/>
    <col min="14" max="14" width="20.140625" customWidth="1"/>
    <col min="15" max="15" width="8.7109375" customWidth="1"/>
    <col min="16" max="16" width="29.28515625" customWidth="1"/>
    <col min="17" max="17" width="22.28515625" customWidth="1"/>
    <col min="18" max="18" width="23" customWidth="1"/>
    <col min="19" max="19" width="15.140625" customWidth="1"/>
    <col min="20" max="20" width="22.42578125" bestFit="1" customWidth="1"/>
    <col min="21" max="21" width="22.140625" bestFit="1" customWidth="1"/>
    <col min="22" max="22" width="75" customWidth="1"/>
    <col min="23" max="24" width="60.7109375" customWidth="1"/>
    <col min="25" max="25" width="70.7109375" customWidth="1"/>
    <col min="26" max="26" width="44.85546875" customWidth="1"/>
  </cols>
  <sheetData>
    <row r="1" spans="2:26" ht="50.25" customHeight="1" x14ac:dyDescent="0.25">
      <c r="M1" s="584" t="s">
        <v>0</v>
      </c>
      <c r="N1" s="584"/>
      <c r="O1" s="584"/>
      <c r="P1" s="584"/>
      <c r="Q1" s="584"/>
      <c r="R1" s="584"/>
      <c r="S1" s="584"/>
      <c r="T1" s="584"/>
      <c r="U1" s="584"/>
    </row>
    <row r="2" spans="2:26" ht="24" customHeight="1" x14ac:dyDescent="0.25">
      <c r="M2" s="778" t="s">
        <v>346</v>
      </c>
      <c r="N2" s="778"/>
      <c r="O2" s="778"/>
      <c r="P2" s="778"/>
      <c r="Q2" s="778"/>
      <c r="R2" s="778"/>
      <c r="S2" s="778"/>
      <c r="T2" s="778"/>
      <c r="U2" s="778"/>
    </row>
    <row r="3" spans="2:26" x14ac:dyDescent="0.25">
      <c r="B3" s="812" t="s">
        <v>23</v>
      </c>
      <c r="C3" s="812"/>
      <c r="D3" s="812"/>
      <c r="E3" s="812"/>
      <c r="F3" s="812"/>
      <c r="G3" s="812"/>
      <c r="H3" s="812"/>
      <c r="I3" s="812"/>
      <c r="J3" s="812"/>
      <c r="K3" s="812"/>
      <c r="L3" s="812"/>
      <c r="M3" s="812"/>
      <c r="N3" s="812"/>
      <c r="O3" s="812"/>
      <c r="P3" s="812"/>
      <c r="Q3" s="812"/>
      <c r="R3" s="812"/>
      <c r="S3" s="812"/>
      <c r="T3" s="812"/>
      <c r="U3" s="812"/>
      <c r="V3" s="90"/>
      <c r="W3" s="90"/>
      <c r="X3" s="90"/>
      <c r="Y3" s="90"/>
      <c r="Z3" s="90"/>
    </row>
    <row r="4" spans="2:26" x14ac:dyDescent="0.25">
      <c r="B4" s="812" t="s">
        <v>154</v>
      </c>
      <c r="C4" s="812"/>
      <c r="D4" s="812"/>
      <c r="E4" s="812"/>
      <c r="F4" s="812"/>
      <c r="G4" s="812"/>
      <c r="H4" s="812"/>
      <c r="I4" s="812"/>
      <c r="J4" s="812"/>
      <c r="K4" s="812"/>
      <c r="L4" s="812"/>
      <c r="M4" s="812"/>
      <c r="N4" s="812"/>
      <c r="O4" s="812"/>
      <c r="P4" s="812"/>
      <c r="Q4" s="812"/>
      <c r="R4" s="812"/>
      <c r="S4" s="812"/>
      <c r="T4" s="812"/>
      <c r="U4" s="812"/>
      <c r="V4" s="90"/>
      <c r="W4" s="90"/>
      <c r="X4" s="90"/>
      <c r="Y4" s="90"/>
      <c r="Z4" s="90"/>
    </row>
    <row r="5" spans="2:26" x14ac:dyDescent="0.25">
      <c r="B5" s="812" t="s">
        <v>155</v>
      </c>
      <c r="C5" s="812"/>
      <c r="D5" s="812"/>
      <c r="E5" s="812"/>
      <c r="F5" s="812"/>
      <c r="G5" s="812"/>
      <c r="H5" s="812"/>
      <c r="I5" s="812"/>
      <c r="J5" s="812"/>
      <c r="K5" s="812"/>
      <c r="L5" s="812"/>
      <c r="M5" s="812"/>
      <c r="N5" s="812"/>
      <c r="O5" s="812"/>
      <c r="P5" s="812"/>
      <c r="Q5" s="812"/>
      <c r="R5" s="812"/>
      <c r="S5" s="812"/>
      <c r="T5" s="812"/>
      <c r="U5" s="812"/>
      <c r="V5" s="90"/>
      <c r="W5" s="816" t="s">
        <v>413</v>
      </c>
      <c r="X5" s="816"/>
      <c r="Y5" s="816"/>
      <c r="Z5" s="90"/>
    </row>
    <row r="6" spans="2:26" ht="15.75" x14ac:dyDescent="0.25">
      <c r="B6" s="813" t="s">
        <v>3</v>
      </c>
      <c r="C6" s="813"/>
      <c r="D6" s="813"/>
      <c r="E6" s="813"/>
      <c r="F6" s="813"/>
      <c r="G6" s="813"/>
      <c r="H6" s="813"/>
      <c r="I6" s="813"/>
      <c r="J6" s="813"/>
      <c r="K6" s="435"/>
      <c r="L6" s="813" t="s">
        <v>32</v>
      </c>
      <c r="M6" s="813"/>
      <c r="N6" s="813"/>
      <c r="O6" s="813"/>
      <c r="P6" s="813"/>
      <c r="Q6" s="814" t="s">
        <v>4</v>
      </c>
      <c r="R6" s="814"/>
      <c r="S6" s="814"/>
      <c r="T6" s="814"/>
      <c r="U6" s="815" t="s">
        <v>40</v>
      </c>
      <c r="V6" s="90"/>
      <c r="W6" s="556" t="s">
        <v>410</v>
      </c>
      <c r="X6" s="557"/>
      <c r="Y6" s="817" t="s">
        <v>442</v>
      </c>
      <c r="Z6" s="90"/>
    </row>
    <row r="7" spans="2:26" ht="46.5" customHeight="1" x14ac:dyDescent="0.25">
      <c r="B7" s="436" t="s">
        <v>51</v>
      </c>
      <c r="C7" s="436" t="s">
        <v>12</v>
      </c>
      <c r="D7" s="436" t="s">
        <v>52</v>
      </c>
      <c r="E7" s="436" t="s">
        <v>24</v>
      </c>
      <c r="F7" s="436" t="s">
        <v>25</v>
      </c>
      <c r="G7" s="436" t="s">
        <v>26</v>
      </c>
      <c r="H7" s="436" t="s">
        <v>27</v>
      </c>
      <c r="I7" s="436" t="s">
        <v>28</v>
      </c>
      <c r="J7" s="436" t="s">
        <v>29</v>
      </c>
      <c r="K7" s="436" t="s">
        <v>47</v>
      </c>
      <c r="L7" s="434" t="s">
        <v>14</v>
      </c>
      <c r="M7" s="434" t="s">
        <v>31</v>
      </c>
      <c r="N7" s="434" t="s">
        <v>15</v>
      </c>
      <c r="O7" s="434" t="s">
        <v>16</v>
      </c>
      <c r="P7" s="436" t="s">
        <v>48</v>
      </c>
      <c r="Q7" s="434" t="s">
        <v>17</v>
      </c>
      <c r="R7" s="434" t="s">
        <v>18</v>
      </c>
      <c r="S7" s="434" t="s">
        <v>19</v>
      </c>
      <c r="T7" s="434" t="s">
        <v>361</v>
      </c>
      <c r="U7" s="815"/>
      <c r="V7" s="433" t="s">
        <v>423</v>
      </c>
      <c r="W7" s="467" t="s">
        <v>408</v>
      </c>
      <c r="X7" s="467" t="s">
        <v>409</v>
      </c>
      <c r="Y7" s="818"/>
      <c r="Z7" s="90"/>
    </row>
    <row r="8" spans="2:26" ht="137.25" customHeight="1" x14ac:dyDescent="0.25">
      <c r="B8" s="786" t="s">
        <v>327</v>
      </c>
      <c r="C8" s="787" t="s">
        <v>328</v>
      </c>
      <c r="D8" s="437" t="s">
        <v>329</v>
      </c>
      <c r="E8" s="438">
        <v>1</v>
      </c>
      <c r="F8" s="439">
        <v>0</v>
      </c>
      <c r="G8" s="439">
        <v>0</v>
      </c>
      <c r="H8" s="439">
        <v>0</v>
      </c>
      <c r="I8" s="440">
        <f t="shared" ref="I8:I15" si="0">SUM(E8:H8)</f>
        <v>1</v>
      </c>
      <c r="J8" s="437" t="s">
        <v>322</v>
      </c>
      <c r="K8" s="788"/>
      <c r="L8" s="789">
        <v>1</v>
      </c>
      <c r="M8" s="788" t="s">
        <v>697</v>
      </c>
      <c r="N8" s="790" t="s">
        <v>698</v>
      </c>
      <c r="O8" s="810">
        <v>1</v>
      </c>
      <c r="P8" s="788" t="s">
        <v>164</v>
      </c>
      <c r="Q8" s="811">
        <f>SUM(R8:T9)</f>
        <v>1240615210</v>
      </c>
      <c r="R8" s="785">
        <v>1240615210</v>
      </c>
      <c r="S8" s="785">
        <v>0</v>
      </c>
      <c r="T8" s="785">
        <v>0</v>
      </c>
      <c r="U8" s="800">
        <v>0</v>
      </c>
      <c r="V8" s="781" t="s">
        <v>506</v>
      </c>
      <c r="W8" s="550" t="s">
        <v>699</v>
      </c>
      <c r="X8" s="550" t="s">
        <v>713</v>
      </c>
      <c r="Y8" s="550" t="s">
        <v>715</v>
      </c>
      <c r="Z8" s="543" t="s">
        <v>714</v>
      </c>
    </row>
    <row r="9" spans="2:26" ht="409.5" customHeight="1" x14ac:dyDescent="0.25">
      <c r="B9" s="786"/>
      <c r="C9" s="787"/>
      <c r="D9" s="437" t="s">
        <v>330</v>
      </c>
      <c r="E9" s="441">
        <v>0</v>
      </c>
      <c r="F9" s="441">
        <v>2</v>
      </c>
      <c r="G9" s="441">
        <v>4</v>
      </c>
      <c r="H9" s="441">
        <v>2</v>
      </c>
      <c r="I9" s="442">
        <f t="shared" si="0"/>
        <v>8</v>
      </c>
      <c r="J9" s="437" t="s">
        <v>322</v>
      </c>
      <c r="K9" s="788"/>
      <c r="L9" s="789"/>
      <c r="M9" s="788"/>
      <c r="N9" s="788"/>
      <c r="O9" s="810"/>
      <c r="P9" s="788"/>
      <c r="Q9" s="811"/>
      <c r="R9" s="785"/>
      <c r="S9" s="785"/>
      <c r="T9" s="785"/>
      <c r="U9" s="800"/>
      <c r="V9" s="781"/>
      <c r="W9" s="550"/>
      <c r="X9" s="550"/>
      <c r="Y9" s="550"/>
      <c r="Z9" s="543"/>
    </row>
    <row r="10" spans="2:26" ht="118.5" customHeight="1" x14ac:dyDescent="0.25">
      <c r="B10" s="786"/>
      <c r="C10" s="787" t="s">
        <v>331</v>
      </c>
      <c r="D10" s="443" t="s">
        <v>332</v>
      </c>
      <c r="E10" s="444">
        <v>1</v>
      </c>
      <c r="F10" s="445">
        <v>0</v>
      </c>
      <c r="G10" s="445">
        <v>0</v>
      </c>
      <c r="H10" s="445">
        <v>0</v>
      </c>
      <c r="I10" s="442">
        <f t="shared" si="0"/>
        <v>1</v>
      </c>
      <c r="J10" s="437" t="s">
        <v>322</v>
      </c>
      <c r="K10" s="798" t="s">
        <v>168</v>
      </c>
      <c r="L10" s="789">
        <v>2</v>
      </c>
      <c r="M10" s="787" t="s">
        <v>331</v>
      </c>
      <c r="N10" s="446" t="s">
        <v>383</v>
      </c>
      <c r="O10" s="447">
        <v>1</v>
      </c>
      <c r="P10" s="437" t="s">
        <v>164</v>
      </c>
      <c r="Q10" s="801">
        <f>R10+S10+T10</f>
        <v>620000000</v>
      </c>
      <c r="R10" s="804">
        <v>620000000</v>
      </c>
      <c r="S10" s="804">
        <v>0</v>
      </c>
      <c r="T10" s="804">
        <v>0</v>
      </c>
      <c r="U10" s="807">
        <v>68360000</v>
      </c>
      <c r="V10" s="363" t="s">
        <v>508</v>
      </c>
      <c r="W10" s="463" t="s">
        <v>509</v>
      </c>
      <c r="X10" s="479" t="s">
        <v>717</v>
      </c>
      <c r="Y10" s="553" t="s">
        <v>719</v>
      </c>
      <c r="Z10" s="543" t="s">
        <v>718</v>
      </c>
    </row>
    <row r="11" spans="2:26" ht="74.25" customHeight="1" x14ac:dyDescent="0.25">
      <c r="B11" s="786"/>
      <c r="C11" s="787"/>
      <c r="D11" s="437" t="s">
        <v>333</v>
      </c>
      <c r="E11" s="444">
        <v>720</v>
      </c>
      <c r="F11" s="448">
        <v>720</v>
      </c>
      <c r="G11" s="448">
        <v>720</v>
      </c>
      <c r="H11" s="448">
        <v>720</v>
      </c>
      <c r="I11" s="449">
        <f t="shared" si="0"/>
        <v>2880</v>
      </c>
      <c r="J11" s="437" t="s">
        <v>322</v>
      </c>
      <c r="K11" s="798"/>
      <c r="L11" s="789"/>
      <c r="M11" s="787"/>
      <c r="N11" s="437" t="s">
        <v>333</v>
      </c>
      <c r="O11" s="450">
        <v>720</v>
      </c>
      <c r="P11" s="437" t="s">
        <v>164</v>
      </c>
      <c r="Q11" s="802"/>
      <c r="R11" s="805"/>
      <c r="S11" s="805"/>
      <c r="T11" s="805"/>
      <c r="U11" s="808"/>
      <c r="V11" s="363" t="s">
        <v>504</v>
      </c>
      <c r="W11" s="464" t="s">
        <v>510</v>
      </c>
      <c r="X11" s="464" t="s">
        <v>701</v>
      </c>
      <c r="Y11" s="554"/>
      <c r="Z11" s="543"/>
    </row>
    <row r="12" spans="2:26" ht="40.5" customHeight="1" x14ac:dyDescent="0.25">
      <c r="B12" s="786"/>
      <c r="C12" s="787"/>
      <c r="D12" s="788" t="s">
        <v>334</v>
      </c>
      <c r="E12" s="791">
        <v>2</v>
      </c>
      <c r="F12" s="791">
        <v>2</v>
      </c>
      <c r="G12" s="791">
        <v>2</v>
      </c>
      <c r="H12" s="791">
        <v>2</v>
      </c>
      <c r="I12" s="792">
        <f t="shared" si="0"/>
        <v>8</v>
      </c>
      <c r="J12" s="798" t="s">
        <v>322</v>
      </c>
      <c r="K12" s="798"/>
      <c r="L12" s="789"/>
      <c r="M12" s="787"/>
      <c r="N12" s="437" t="s">
        <v>334</v>
      </c>
      <c r="O12" s="447">
        <v>2</v>
      </c>
      <c r="P12" s="437" t="s">
        <v>164</v>
      </c>
      <c r="Q12" s="802"/>
      <c r="R12" s="805"/>
      <c r="S12" s="805"/>
      <c r="T12" s="805"/>
      <c r="U12" s="808"/>
      <c r="V12" s="363" t="s">
        <v>501</v>
      </c>
      <c r="W12" s="464" t="s">
        <v>703</v>
      </c>
      <c r="X12" s="464" t="s">
        <v>706</v>
      </c>
      <c r="Y12" s="554"/>
      <c r="Z12" s="543"/>
    </row>
    <row r="13" spans="2:26" ht="72" customHeight="1" x14ac:dyDescent="0.25">
      <c r="B13" s="786"/>
      <c r="C13" s="787"/>
      <c r="D13" s="788"/>
      <c r="E13" s="791"/>
      <c r="F13" s="791"/>
      <c r="G13" s="791"/>
      <c r="H13" s="791"/>
      <c r="I13" s="792"/>
      <c r="J13" s="798"/>
      <c r="K13" s="798"/>
      <c r="L13" s="789"/>
      <c r="M13" s="787"/>
      <c r="N13" s="437" t="s">
        <v>368</v>
      </c>
      <c r="O13" s="451">
        <v>7</v>
      </c>
      <c r="P13" s="437" t="s">
        <v>164</v>
      </c>
      <c r="Q13" s="802"/>
      <c r="R13" s="805"/>
      <c r="S13" s="805"/>
      <c r="T13" s="805"/>
      <c r="U13" s="808"/>
      <c r="V13" s="363" t="s">
        <v>503</v>
      </c>
      <c r="W13" s="464" t="s">
        <v>704</v>
      </c>
      <c r="X13" s="464" t="s">
        <v>702</v>
      </c>
      <c r="Y13" s="554"/>
      <c r="Z13" s="543"/>
    </row>
    <row r="14" spans="2:26" ht="409.5" customHeight="1" x14ac:dyDescent="0.25">
      <c r="B14" s="786"/>
      <c r="C14" s="787"/>
      <c r="D14" s="788"/>
      <c r="E14" s="791"/>
      <c r="F14" s="791"/>
      <c r="G14" s="791"/>
      <c r="H14" s="791"/>
      <c r="I14" s="792"/>
      <c r="J14" s="798"/>
      <c r="K14" s="798"/>
      <c r="L14" s="789"/>
      <c r="M14" s="787"/>
      <c r="N14" s="452" t="s">
        <v>384</v>
      </c>
      <c r="O14" s="451">
        <v>1</v>
      </c>
      <c r="P14" s="437" t="s">
        <v>164</v>
      </c>
      <c r="Q14" s="803"/>
      <c r="R14" s="806"/>
      <c r="S14" s="806"/>
      <c r="T14" s="806"/>
      <c r="U14" s="809"/>
      <c r="V14" s="363" t="s">
        <v>502</v>
      </c>
      <c r="W14" s="464" t="s">
        <v>705</v>
      </c>
      <c r="X14" s="464" t="s">
        <v>716</v>
      </c>
      <c r="Y14" s="555"/>
      <c r="Z14" s="543"/>
    </row>
    <row r="15" spans="2:26" ht="171.75" customHeight="1" x14ac:dyDescent="0.25">
      <c r="B15" s="786"/>
      <c r="C15" s="787" t="s">
        <v>335</v>
      </c>
      <c r="D15" s="788" t="s">
        <v>336</v>
      </c>
      <c r="E15" s="799">
        <v>1</v>
      </c>
      <c r="F15" s="791">
        <v>0</v>
      </c>
      <c r="G15" s="791">
        <v>0</v>
      </c>
      <c r="H15" s="791">
        <v>0</v>
      </c>
      <c r="I15" s="792">
        <f t="shared" si="0"/>
        <v>1</v>
      </c>
      <c r="J15" s="798" t="s">
        <v>322</v>
      </c>
      <c r="K15" s="788" t="s">
        <v>168</v>
      </c>
      <c r="L15" s="789">
        <v>3</v>
      </c>
      <c r="M15" s="788" t="s">
        <v>366</v>
      </c>
      <c r="N15" s="437" t="s">
        <v>337</v>
      </c>
      <c r="O15" s="453">
        <v>0.95</v>
      </c>
      <c r="P15" s="437" t="s">
        <v>338</v>
      </c>
      <c r="Q15" s="811">
        <f>SUM(R15:T19)</f>
        <v>0</v>
      </c>
      <c r="R15" s="785">
        <v>0</v>
      </c>
      <c r="S15" s="785">
        <v>0</v>
      </c>
      <c r="T15" s="785">
        <v>0</v>
      </c>
      <c r="U15" s="785">
        <v>759530000</v>
      </c>
      <c r="V15" s="363" t="s">
        <v>511</v>
      </c>
      <c r="W15" s="463" t="s">
        <v>707</v>
      </c>
      <c r="X15" s="463" t="s">
        <v>709</v>
      </c>
      <c r="Y15" s="550" t="s">
        <v>723</v>
      </c>
      <c r="Z15" s="543" t="s">
        <v>722</v>
      </c>
    </row>
    <row r="16" spans="2:26" ht="186" customHeight="1" x14ac:dyDescent="0.25">
      <c r="B16" s="786"/>
      <c r="C16" s="787"/>
      <c r="D16" s="788"/>
      <c r="E16" s="799"/>
      <c r="F16" s="791"/>
      <c r="G16" s="791"/>
      <c r="H16" s="791"/>
      <c r="I16" s="792"/>
      <c r="J16" s="798"/>
      <c r="K16" s="788"/>
      <c r="L16" s="789"/>
      <c r="M16" s="788"/>
      <c r="N16" s="437" t="s">
        <v>339</v>
      </c>
      <c r="O16" s="453">
        <v>1</v>
      </c>
      <c r="P16" s="437" t="s">
        <v>338</v>
      </c>
      <c r="Q16" s="811"/>
      <c r="R16" s="785"/>
      <c r="S16" s="785"/>
      <c r="T16" s="785"/>
      <c r="U16" s="785"/>
      <c r="V16" s="363" t="s">
        <v>512</v>
      </c>
      <c r="W16" s="463" t="s">
        <v>721</v>
      </c>
      <c r="X16" s="463" t="s">
        <v>720</v>
      </c>
      <c r="Y16" s="550"/>
      <c r="Z16" s="543"/>
    </row>
    <row r="17" spans="2:26" ht="71.25" customHeight="1" x14ac:dyDescent="0.25">
      <c r="B17" s="786"/>
      <c r="C17" s="787"/>
      <c r="D17" s="788"/>
      <c r="E17" s="799"/>
      <c r="F17" s="791"/>
      <c r="G17" s="791"/>
      <c r="H17" s="791"/>
      <c r="I17" s="792"/>
      <c r="J17" s="798"/>
      <c r="K17" s="788"/>
      <c r="L17" s="789"/>
      <c r="M17" s="788"/>
      <c r="N17" s="822" t="s">
        <v>340</v>
      </c>
      <c r="O17" s="825">
        <v>1</v>
      </c>
      <c r="P17" s="828" t="s">
        <v>338</v>
      </c>
      <c r="Q17" s="811"/>
      <c r="R17" s="785"/>
      <c r="S17" s="785"/>
      <c r="T17" s="785"/>
      <c r="U17" s="785"/>
      <c r="V17" s="819" t="s">
        <v>513</v>
      </c>
      <c r="W17" s="550" t="s">
        <v>708</v>
      </c>
      <c r="X17" s="550" t="s">
        <v>710</v>
      </c>
      <c r="Y17" s="550"/>
      <c r="Z17" s="543"/>
    </row>
    <row r="18" spans="2:26" ht="86.25" customHeight="1" x14ac:dyDescent="0.25">
      <c r="B18" s="786"/>
      <c r="C18" s="787"/>
      <c r="D18" s="437" t="s">
        <v>341</v>
      </c>
      <c r="E18" s="448">
        <v>1</v>
      </c>
      <c r="F18" s="454">
        <v>1</v>
      </c>
      <c r="G18" s="448">
        <v>1</v>
      </c>
      <c r="H18" s="448">
        <v>1</v>
      </c>
      <c r="I18" s="442">
        <f>SUM(E18:H18)</f>
        <v>4</v>
      </c>
      <c r="J18" s="437" t="s">
        <v>322</v>
      </c>
      <c r="K18" s="788"/>
      <c r="L18" s="789"/>
      <c r="M18" s="788"/>
      <c r="N18" s="823"/>
      <c r="O18" s="826"/>
      <c r="P18" s="829"/>
      <c r="Q18" s="811"/>
      <c r="R18" s="785"/>
      <c r="S18" s="785"/>
      <c r="T18" s="785"/>
      <c r="U18" s="785"/>
      <c r="V18" s="819"/>
      <c r="W18" s="550"/>
      <c r="X18" s="550"/>
      <c r="Y18" s="550"/>
      <c r="Z18" s="543"/>
    </row>
    <row r="19" spans="2:26" ht="56.25" customHeight="1" x14ac:dyDescent="0.25">
      <c r="B19" s="786"/>
      <c r="C19" s="787"/>
      <c r="D19" s="443" t="s">
        <v>342</v>
      </c>
      <c r="E19" s="444">
        <v>1</v>
      </c>
      <c r="F19" s="448">
        <v>0</v>
      </c>
      <c r="G19" s="448">
        <v>0</v>
      </c>
      <c r="H19" s="448">
        <v>0</v>
      </c>
      <c r="I19" s="442">
        <f>SUM(E19:H19)</f>
        <v>1</v>
      </c>
      <c r="J19" s="437" t="s">
        <v>322</v>
      </c>
      <c r="K19" s="788"/>
      <c r="L19" s="789"/>
      <c r="M19" s="788"/>
      <c r="N19" s="824"/>
      <c r="O19" s="827"/>
      <c r="P19" s="830"/>
      <c r="Q19" s="811"/>
      <c r="R19" s="785"/>
      <c r="S19" s="785"/>
      <c r="T19" s="785"/>
      <c r="U19" s="785"/>
      <c r="V19" s="819"/>
      <c r="W19" s="550"/>
      <c r="X19" s="550"/>
      <c r="Y19" s="550"/>
      <c r="Z19" s="543"/>
    </row>
    <row r="20" spans="2:26" ht="67.5" customHeight="1" x14ac:dyDescent="0.25">
      <c r="B20" s="786"/>
      <c r="C20" s="793" t="s">
        <v>343</v>
      </c>
      <c r="D20" s="455" t="s">
        <v>344</v>
      </c>
      <c r="E20" s="444">
        <v>1</v>
      </c>
      <c r="F20" s="448">
        <v>0</v>
      </c>
      <c r="G20" s="448">
        <v>0</v>
      </c>
      <c r="H20" s="448">
        <v>0</v>
      </c>
      <c r="I20" s="442">
        <v>1</v>
      </c>
      <c r="J20" s="456" t="s">
        <v>322</v>
      </c>
      <c r="K20" s="788" t="s">
        <v>168</v>
      </c>
      <c r="L20" s="789">
        <v>4</v>
      </c>
      <c r="M20" s="793" t="s">
        <v>363</v>
      </c>
      <c r="N20" s="794" t="s">
        <v>364</v>
      </c>
      <c r="O20" s="796">
        <v>1</v>
      </c>
      <c r="P20" s="783" t="s">
        <v>365</v>
      </c>
      <c r="Q20" s="784">
        <f>R20+S20+T20</f>
        <v>657663783</v>
      </c>
      <c r="R20" s="785">
        <v>657663783</v>
      </c>
      <c r="S20" s="785">
        <v>0</v>
      </c>
      <c r="T20" s="785">
        <v>0</v>
      </c>
      <c r="U20" s="785">
        <v>9347165216.6499996</v>
      </c>
      <c r="V20" s="820" t="s">
        <v>700</v>
      </c>
      <c r="W20" s="553" t="s">
        <v>711</v>
      </c>
      <c r="X20" s="553" t="s">
        <v>725</v>
      </c>
      <c r="Y20" s="553" t="s">
        <v>712</v>
      </c>
      <c r="Z20" s="543" t="s">
        <v>724</v>
      </c>
    </row>
    <row r="21" spans="2:26" ht="168.75" customHeight="1" x14ac:dyDescent="0.25">
      <c r="B21" s="786"/>
      <c r="C21" s="793"/>
      <c r="D21" s="457" t="s">
        <v>363</v>
      </c>
      <c r="E21" s="448">
        <v>1</v>
      </c>
      <c r="F21" s="454">
        <v>1</v>
      </c>
      <c r="G21" s="448">
        <v>1</v>
      </c>
      <c r="H21" s="448">
        <v>1</v>
      </c>
      <c r="I21" s="442">
        <v>4</v>
      </c>
      <c r="J21" s="456" t="s">
        <v>322</v>
      </c>
      <c r="K21" s="788"/>
      <c r="L21" s="789"/>
      <c r="M21" s="793"/>
      <c r="N21" s="795"/>
      <c r="O21" s="797"/>
      <c r="P21" s="783"/>
      <c r="Q21" s="784"/>
      <c r="R21" s="785"/>
      <c r="S21" s="785"/>
      <c r="T21" s="785"/>
      <c r="U21" s="785"/>
      <c r="V21" s="820"/>
      <c r="W21" s="555"/>
      <c r="X21" s="555"/>
      <c r="Y21" s="555"/>
      <c r="Z21" s="543"/>
    </row>
    <row r="22" spans="2:26" ht="21.75" customHeight="1" x14ac:dyDescent="0.25">
      <c r="B22" s="782" t="s">
        <v>53</v>
      </c>
      <c r="C22" s="782"/>
      <c r="D22" s="782"/>
      <c r="E22" s="782"/>
      <c r="F22" s="782"/>
      <c r="G22" s="782"/>
      <c r="H22" s="782"/>
      <c r="I22" s="782"/>
      <c r="J22" s="782"/>
      <c r="K22" s="782"/>
      <c r="L22" s="782"/>
      <c r="M22" s="782"/>
      <c r="N22" s="782"/>
      <c r="O22" s="782"/>
      <c r="P22" s="782"/>
      <c r="Q22" s="163">
        <f>SUM(Q8:Q21)</f>
        <v>2518278993</v>
      </c>
      <c r="R22" s="163">
        <f>R20+R15+R10+R8</f>
        <v>2518278993</v>
      </c>
      <c r="S22" s="163">
        <f>SUBTOTAL(9,S8:S21)</f>
        <v>0</v>
      </c>
      <c r="T22" s="163">
        <f>SUBTOTAL(9,T8:T21)</f>
        <v>0</v>
      </c>
      <c r="U22" s="163">
        <f>U20+U15+U10+U8</f>
        <v>10175055216.65</v>
      </c>
      <c r="V22" s="462"/>
      <c r="W22" s="90"/>
      <c r="X22" s="90"/>
      <c r="Y22" s="90"/>
      <c r="Z22" s="90"/>
    </row>
    <row r="23" spans="2:26" x14ac:dyDescent="0.25">
      <c r="B23" s="562" t="s">
        <v>505</v>
      </c>
      <c r="C23" s="562"/>
      <c r="D23" s="562"/>
      <c r="E23" s="562"/>
      <c r="F23" s="562"/>
      <c r="G23" s="562"/>
      <c r="H23" s="562"/>
      <c r="I23" s="562"/>
      <c r="J23" s="562"/>
      <c r="K23" s="562"/>
      <c r="L23" s="562"/>
      <c r="M23" s="562"/>
      <c r="N23" s="562"/>
      <c r="O23" s="562"/>
      <c r="P23" s="562"/>
      <c r="Q23" s="562"/>
      <c r="R23" s="562"/>
      <c r="S23" s="562"/>
      <c r="T23" s="562"/>
      <c r="U23" s="562"/>
      <c r="V23" s="459"/>
      <c r="W23" s="90"/>
      <c r="X23" s="90"/>
      <c r="Y23" s="90"/>
      <c r="Z23" s="90"/>
    </row>
    <row r="24" spans="2:26" ht="86.25" x14ac:dyDescent="0.25">
      <c r="B24" s="460" t="s">
        <v>417</v>
      </c>
      <c r="C24" s="90"/>
      <c r="D24" s="90"/>
      <c r="E24" s="90"/>
      <c r="F24" s="90"/>
      <c r="G24" s="90"/>
      <c r="H24" s="90"/>
      <c r="I24" s="90"/>
      <c r="J24" s="90"/>
      <c r="K24" s="90"/>
      <c r="L24" s="90"/>
      <c r="M24" s="90"/>
      <c r="N24" s="90"/>
      <c r="O24" s="90"/>
      <c r="P24" s="90"/>
      <c r="Q24" s="461" t="s">
        <v>404</v>
      </c>
      <c r="R24" s="461" t="s">
        <v>406</v>
      </c>
      <c r="S24" s="458"/>
      <c r="T24" s="461" t="s">
        <v>405</v>
      </c>
      <c r="U24" s="458"/>
      <c r="V24" s="90"/>
      <c r="W24" s="90"/>
      <c r="X24" s="90"/>
      <c r="Y24" s="90"/>
      <c r="Z24" s="90"/>
    </row>
    <row r="25" spans="2:26" x14ac:dyDescent="0.25">
      <c r="B25" s="821"/>
      <c r="C25" s="821"/>
      <c r="D25" s="821"/>
      <c r="E25" s="821"/>
      <c r="F25" s="821"/>
      <c r="G25" s="821"/>
      <c r="H25" s="821"/>
      <c r="I25" s="821"/>
      <c r="J25" s="821"/>
      <c r="K25" s="821"/>
      <c r="M25" s="207"/>
    </row>
    <row r="26" spans="2:26" x14ac:dyDescent="0.25">
      <c r="M26" s="207"/>
    </row>
    <row r="27" spans="2:26" x14ac:dyDescent="0.25">
      <c r="M27" s="208"/>
    </row>
  </sheetData>
  <mergeCells count="92">
    <mergeCell ref="B23:U23"/>
    <mergeCell ref="V17:V19"/>
    <mergeCell ref="V20:V21"/>
    <mergeCell ref="B25:K25"/>
    <mergeCell ref="C15:C19"/>
    <mergeCell ref="U15:U19"/>
    <mergeCell ref="N17:N19"/>
    <mergeCell ref="O17:O19"/>
    <mergeCell ref="P17:P19"/>
    <mergeCell ref="R15:R19"/>
    <mergeCell ref="Q15:Q19"/>
    <mergeCell ref="S15:S19"/>
    <mergeCell ref="U20:U21"/>
    <mergeCell ref="C20:C21"/>
    <mergeCell ref="K20:K21"/>
    <mergeCell ref="L20:L21"/>
    <mergeCell ref="B6:J6"/>
    <mergeCell ref="L6:P6"/>
    <mergeCell ref="Q6:T6"/>
    <mergeCell ref="U6:U7"/>
    <mergeCell ref="W5:Y5"/>
    <mergeCell ref="W6:X6"/>
    <mergeCell ref="Y6:Y7"/>
    <mergeCell ref="M1:U1"/>
    <mergeCell ref="M2:U2"/>
    <mergeCell ref="B3:U3"/>
    <mergeCell ref="B4:U4"/>
    <mergeCell ref="B5:U5"/>
    <mergeCell ref="U8:U9"/>
    <mergeCell ref="C10:C14"/>
    <mergeCell ref="K10:K14"/>
    <mergeCell ref="L10:L14"/>
    <mergeCell ref="M10:M14"/>
    <mergeCell ref="Q10:Q14"/>
    <mergeCell ref="R10:R14"/>
    <mergeCell ref="S10:S14"/>
    <mergeCell ref="T10:T14"/>
    <mergeCell ref="U10:U14"/>
    <mergeCell ref="O8:O9"/>
    <mergeCell ref="P8:P9"/>
    <mergeCell ref="Q8:Q9"/>
    <mergeCell ref="R8:R9"/>
    <mergeCell ref="S8:S9"/>
    <mergeCell ref="T8:T9"/>
    <mergeCell ref="D12:D14"/>
    <mergeCell ref="E12:E14"/>
    <mergeCell ref="F12:F14"/>
    <mergeCell ref="G12:G14"/>
    <mergeCell ref="J15:J17"/>
    <mergeCell ref="D15:D17"/>
    <mergeCell ref="E15:E17"/>
    <mergeCell ref="F15:F17"/>
    <mergeCell ref="G15:G17"/>
    <mergeCell ref="J12:J14"/>
    <mergeCell ref="H15:H17"/>
    <mergeCell ref="I15:I17"/>
    <mergeCell ref="M20:M21"/>
    <mergeCell ref="N20:N21"/>
    <mergeCell ref="O20:O21"/>
    <mergeCell ref="T20:T21"/>
    <mergeCell ref="T15:T19"/>
    <mergeCell ref="B22:P22"/>
    <mergeCell ref="P20:P21"/>
    <mergeCell ref="Q20:Q21"/>
    <mergeCell ref="R20:R21"/>
    <mergeCell ref="S20:S21"/>
    <mergeCell ref="B8:B21"/>
    <mergeCell ref="C8:C9"/>
    <mergeCell ref="K8:K9"/>
    <mergeCell ref="L8:L9"/>
    <mergeCell ref="M8:M9"/>
    <mergeCell ref="N8:N9"/>
    <mergeCell ref="K15:K19"/>
    <mergeCell ref="L15:L19"/>
    <mergeCell ref="M15:M19"/>
    <mergeCell ref="H12:H14"/>
    <mergeCell ref="I12:I14"/>
    <mergeCell ref="W20:W21"/>
    <mergeCell ref="X20:X21"/>
    <mergeCell ref="Y20:Y21"/>
    <mergeCell ref="Z20:Z21"/>
    <mergeCell ref="V8:V9"/>
    <mergeCell ref="W8:W9"/>
    <mergeCell ref="X8:X9"/>
    <mergeCell ref="Y8:Y9"/>
    <mergeCell ref="Z8:Z9"/>
    <mergeCell ref="Y15:Y19"/>
    <mergeCell ref="W17:W19"/>
    <mergeCell ref="X17:X19"/>
    <mergeCell ref="Z15:Z19"/>
    <mergeCell ref="Y10:Y14"/>
    <mergeCell ref="Z10:Z14"/>
  </mergeCells>
  <conditionalFormatting sqref="E9:H9">
    <cfRule type="expression" dxfId="4" priority="3" stopIfTrue="1">
      <formula>+IF((#REF!+#REF!+#REF!+#REF!+#REF!)&lt;&gt;$E9,1,0)</formula>
    </cfRule>
  </conditionalFormatting>
  <conditionalFormatting sqref="F11:H11">
    <cfRule type="expression" dxfId="3" priority="1" stopIfTrue="1">
      <formula>+IF((#REF!+#REF!+#REF!+#REF!+#REF!)&lt;&gt;$E11,1,0)</formula>
    </cfRule>
  </conditionalFormatting>
  <conditionalFormatting sqref="E10:H12">
    <cfRule type="expression" dxfId="2" priority="2" stopIfTrue="1">
      <formula>+IF((#REF!+#REF!+#REF!+#REF!+#REF!)&lt;&gt;$E10,1,0)</formula>
    </cfRule>
  </conditionalFormatting>
  <dataValidations count="1">
    <dataValidation type="list" allowBlank="1" showInputMessage="1" showErrorMessage="1" sqref="K10 K8 P10:P17 P8 P20 J18:J21 J15:K15 J8:J12">
      <formula1>#REF!</formula1>
    </dataValidation>
  </dataValidations>
  <pageMargins left="0.7" right="0.7" top="0.75" bottom="0.75" header="0.3" footer="0.3"/>
  <pageSetup orientation="portrait" r:id="rId1"/>
  <drawing r:id="rId2"/>
  <legacyDrawing r:id="rId3"/>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V18"/>
  <sheetViews>
    <sheetView zoomScaleNormal="100" workbookViewId="0">
      <selection activeCell="Y8" sqref="Y8:Y9"/>
    </sheetView>
  </sheetViews>
  <sheetFormatPr baseColWidth="10" defaultRowHeight="15" x14ac:dyDescent="0.25"/>
  <cols>
    <col min="1" max="1" width="5.85546875" customWidth="1"/>
    <col min="2" max="2" width="17.85546875" customWidth="1"/>
    <col min="3" max="3" width="16.140625" customWidth="1"/>
    <col min="5" max="5" width="6.140625" customWidth="1"/>
    <col min="6" max="7" width="6" customWidth="1"/>
    <col min="8" max="8" width="6.140625" customWidth="1"/>
    <col min="9" max="9" width="9.7109375" customWidth="1"/>
    <col min="10" max="11" width="14.7109375" customWidth="1"/>
    <col min="12" max="12" width="5.5703125" customWidth="1"/>
    <col min="13" max="13" width="18.28515625" customWidth="1"/>
    <col min="16" max="16" width="13" customWidth="1"/>
    <col min="17" max="17" width="16.28515625" customWidth="1"/>
    <col min="18" max="18" width="18.28515625" customWidth="1"/>
    <col min="21" max="21" width="17" customWidth="1"/>
  </cols>
  <sheetData>
    <row r="3" spans="2:22" ht="15.75" x14ac:dyDescent="0.25">
      <c r="N3" s="584" t="s">
        <v>0</v>
      </c>
      <c r="O3" s="584"/>
      <c r="P3" s="584"/>
      <c r="Q3" s="584"/>
      <c r="R3" s="584"/>
      <c r="S3" s="584"/>
      <c r="T3" s="584"/>
      <c r="U3" s="584"/>
    </row>
    <row r="4" spans="2:22" ht="18" x14ac:dyDescent="0.25">
      <c r="N4" s="585" t="s">
        <v>2</v>
      </c>
      <c r="O4" s="585"/>
      <c r="P4" s="585"/>
      <c r="Q4" s="585"/>
      <c r="R4" s="585"/>
      <c r="S4" s="585"/>
      <c r="T4" s="585"/>
      <c r="U4" s="585"/>
    </row>
    <row r="6" spans="2:22" ht="16.5" x14ac:dyDescent="0.25">
      <c r="B6" s="523" t="s">
        <v>23</v>
      </c>
      <c r="C6" s="523"/>
      <c r="D6" s="523"/>
      <c r="E6" s="523"/>
      <c r="F6" s="523"/>
      <c r="G6" s="523"/>
      <c r="H6" s="523"/>
      <c r="I6" s="523"/>
      <c r="J6" s="523"/>
      <c r="K6" s="523"/>
      <c r="L6" s="523"/>
      <c r="M6" s="523"/>
      <c r="N6" s="523"/>
      <c r="O6" s="523"/>
      <c r="P6" s="523"/>
      <c r="Q6" s="523"/>
      <c r="R6" s="523"/>
      <c r="S6" s="523"/>
      <c r="T6" s="523"/>
      <c r="U6" s="523"/>
    </row>
    <row r="7" spans="2:22" ht="16.5" x14ac:dyDescent="0.25">
      <c r="B7" s="53" t="s">
        <v>154</v>
      </c>
      <c r="C7" s="53"/>
      <c r="D7" s="53"/>
      <c r="E7" s="53"/>
      <c r="F7" s="53"/>
      <c r="G7" s="53"/>
      <c r="H7" s="53"/>
      <c r="I7" s="53"/>
      <c r="J7" s="53"/>
      <c r="K7" s="53"/>
      <c r="L7" s="53"/>
      <c r="M7" s="53"/>
      <c r="N7" s="53"/>
      <c r="O7" s="53"/>
      <c r="P7" s="171"/>
      <c r="Q7" s="172"/>
      <c r="R7" s="172"/>
      <c r="S7" s="172"/>
      <c r="T7" s="172"/>
      <c r="U7" s="173"/>
      <c r="V7" s="40"/>
    </row>
    <row r="8" spans="2:22" ht="16.5" x14ac:dyDescent="0.25">
      <c r="B8" s="523" t="s">
        <v>155</v>
      </c>
      <c r="C8" s="523"/>
      <c r="D8" s="523"/>
      <c r="E8" s="523"/>
      <c r="F8" s="523"/>
      <c r="G8" s="523"/>
      <c r="H8" s="523"/>
      <c r="I8" s="523"/>
      <c r="J8" s="523"/>
      <c r="K8" s="523"/>
      <c r="L8" s="523"/>
      <c r="M8" s="523"/>
      <c r="N8" s="523"/>
      <c r="O8" s="523"/>
      <c r="P8" s="523"/>
      <c r="Q8" s="523"/>
      <c r="R8" s="523"/>
      <c r="S8" s="523"/>
      <c r="T8" s="523"/>
      <c r="U8" s="523"/>
    </row>
    <row r="9" spans="2:22" x14ac:dyDescent="0.25">
      <c r="B9" s="517" t="s">
        <v>3</v>
      </c>
      <c r="C9" s="517"/>
      <c r="D9" s="517"/>
      <c r="E9" s="517"/>
      <c r="F9" s="517"/>
      <c r="G9" s="517"/>
      <c r="H9" s="517"/>
      <c r="I9" s="517"/>
      <c r="J9" s="517"/>
      <c r="K9" s="84"/>
      <c r="L9" s="517" t="s">
        <v>72</v>
      </c>
      <c r="M9" s="517"/>
      <c r="N9" s="517"/>
      <c r="O9" s="517"/>
      <c r="P9" s="517"/>
      <c r="Q9" s="511" t="s">
        <v>4</v>
      </c>
      <c r="R9" s="511"/>
      <c r="S9" s="511"/>
      <c r="T9" s="511"/>
      <c r="U9" s="522" t="s">
        <v>40</v>
      </c>
    </row>
    <row r="10" spans="2:22" ht="48.75" customHeight="1" x14ac:dyDescent="0.25">
      <c r="B10" s="85" t="s">
        <v>51</v>
      </c>
      <c r="C10" s="85" t="s">
        <v>12</v>
      </c>
      <c r="D10" s="85" t="s">
        <v>52</v>
      </c>
      <c r="E10" s="85" t="s">
        <v>24</v>
      </c>
      <c r="F10" s="85" t="s">
        <v>25</v>
      </c>
      <c r="G10" s="85" t="s">
        <v>26</v>
      </c>
      <c r="H10" s="85" t="s">
        <v>27</v>
      </c>
      <c r="I10" s="85" t="s">
        <v>28</v>
      </c>
      <c r="J10" s="85" t="s">
        <v>29</v>
      </c>
      <c r="K10" s="85" t="s">
        <v>47</v>
      </c>
      <c r="L10" s="86" t="s">
        <v>14</v>
      </c>
      <c r="M10" s="86" t="s">
        <v>79</v>
      </c>
      <c r="N10" s="86" t="s">
        <v>15</v>
      </c>
      <c r="O10" s="86" t="s">
        <v>16</v>
      </c>
      <c r="P10" s="85" t="s">
        <v>48</v>
      </c>
      <c r="Q10" s="86" t="s">
        <v>17</v>
      </c>
      <c r="R10" s="86" t="s">
        <v>18</v>
      </c>
      <c r="S10" s="86" t="s">
        <v>19</v>
      </c>
      <c r="T10" s="198" t="s">
        <v>361</v>
      </c>
      <c r="U10" s="522"/>
    </row>
    <row r="11" spans="2:22" ht="40.5" x14ac:dyDescent="0.25">
      <c r="B11" s="520" t="s">
        <v>292</v>
      </c>
      <c r="C11" s="580" t="s">
        <v>311</v>
      </c>
      <c r="D11" s="500" t="s">
        <v>312</v>
      </c>
      <c r="E11" s="832">
        <v>1</v>
      </c>
      <c r="F11" s="832">
        <v>1</v>
      </c>
      <c r="G11" s="832">
        <v>1</v>
      </c>
      <c r="H11" s="832">
        <v>1</v>
      </c>
      <c r="I11" s="833">
        <f>SUM(E11:H12)</f>
        <v>4</v>
      </c>
      <c r="J11" s="500" t="s">
        <v>313</v>
      </c>
      <c r="K11" s="502" t="s">
        <v>168</v>
      </c>
      <c r="L11" s="307">
        <v>1</v>
      </c>
      <c r="M11" s="59" t="s">
        <v>314</v>
      </c>
      <c r="N11" s="59" t="s">
        <v>387</v>
      </c>
      <c r="O11" s="158">
        <v>1</v>
      </c>
      <c r="P11" s="492" t="s">
        <v>315</v>
      </c>
      <c r="Q11" s="81">
        <f>SUM(R11:T11)</f>
        <v>67977760</v>
      </c>
      <c r="R11" s="83">
        <f>70000000-2022240</f>
        <v>67977760</v>
      </c>
      <c r="S11" s="83"/>
      <c r="T11" s="83"/>
      <c r="U11" s="63">
        <f>2986512+61000000</f>
        <v>63986512</v>
      </c>
    </row>
    <row r="12" spans="2:22" x14ac:dyDescent="0.25">
      <c r="B12" s="520"/>
      <c r="C12" s="580"/>
      <c r="D12" s="500"/>
      <c r="E12" s="832"/>
      <c r="F12" s="832"/>
      <c r="G12" s="832"/>
      <c r="H12" s="832"/>
      <c r="I12" s="833"/>
      <c r="J12" s="500"/>
      <c r="K12" s="502"/>
      <c r="L12" s="510">
        <v>2</v>
      </c>
      <c r="M12" s="502" t="s">
        <v>385</v>
      </c>
      <c r="N12" s="502" t="s">
        <v>386</v>
      </c>
      <c r="O12" s="779">
        <v>1</v>
      </c>
      <c r="P12" s="493"/>
      <c r="Q12" s="575">
        <f>SUM(R13:T13)</f>
        <v>0</v>
      </c>
      <c r="R12" s="692">
        <v>0</v>
      </c>
      <c r="S12" s="831"/>
      <c r="T12" s="831"/>
      <c r="U12" s="512">
        <v>0</v>
      </c>
    </row>
    <row r="13" spans="2:22" ht="40.5" x14ac:dyDescent="0.25">
      <c r="B13" s="520"/>
      <c r="C13" s="580"/>
      <c r="D13" s="76" t="s">
        <v>316</v>
      </c>
      <c r="E13" s="154">
        <v>0</v>
      </c>
      <c r="F13" s="154">
        <v>0</v>
      </c>
      <c r="G13" s="154">
        <v>0</v>
      </c>
      <c r="H13" s="154">
        <v>1</v>
      </c>
      <c r="I13" s="155">
        <f>SUM(E13:H14)</f>
        <v>1</v>
      </c>
      <c r="J13" s="76" t="s">
        <v>313</v>
      </c>
      <c r="K13" s="502"/>
      <c r="L13" s="510"/>
      <c r="M13" s="502"/>
      <c r="N13" s="502"/>
      <c r="O13" s="779"/>
      <c r="P13" s="495"/>
      <c r="Q13" s="575"/>
      <c r="R13" s="692"/>
      <c r="S13" s="831"/>
      <c r="T13" s="831"/>
      <c r="U13" s="512"/>
    </row>
    <row r="14" spans="2:22" ht="15.75" x14ac:dyDescent="0.25">
      <c r="B14" s="635" t="s">
        <v>53</v>
      </c>
      <c r="C14" s="635"/>
      <c r="D14" s="635"/>
      <c r="E14" s="635"/>
      <c r="F14" s="635"/>
      <c r="G14" s="635"/>
      <c r="H14" s="635"/>
      <c r="I14" s="635"/>
      <c r="J14" s="635"/>
      <c r="K14" s="635"/>
      <c r="L14" s="635"/>
      <c r="M14" s="635"/>
      <c r="N14" s="635"/>
      <c r="O14" s="635"/>
      <c r="P14" s="635"/>
      <c r="Q14" s="89">
        <f>Q11+Q13</f>
        <v>67977760</v>
      </c>
      <c r="R14" s="89">
        <f>SUBTOTAL(9,R11:R13)</f>
        <v>67977760</v>
      </c>
      <c r="S14" s="89">
        <f>SUBTOTAL(9,S11:S13)</f>
        <v>0</v>
      </c>
      <c r="T14" s="89">
        <f>SUBTOTAL(9,T11:T13)</f>
        <v>0</v>
      </c>
      <c r="U14" s="163">
        <f>U11+U13</f>
        <v>63986512</v>
      </c>
    </row>
    <row r="16" spans="2:22" ht="105" x14ac:dyDescent="0.25">
      <c r="U16" s="316" t="s">
        <v>403</v>
      </c>
    </row>
    <row r="18" spans="21:21" x14ac:dyDescent="0.25">
      <c r="U18" s="317"/>
    </row>
  </sheetData>
  <mergeCells count="29">
    <mergeCell ref="L9:P9"/>
    <mergeCell ref="Q9:T9"/>
    <mergeCell ref="B14:P14"/>
    <mergeCell ref="H11:H12"/>
    <mergeCell ref="I11:I12"/>
    <mergeCell ref="J11:J12"/>
    <mergeCell ref="K11:K13"/>
    <mergeCell ref="P11:P13"/>
    <mergeCell ref="E11:E12"/>
    <mergeCell ref="F11:F12"/>
    <mergeCell ref="G11:G12"/>
    <mergeCell ref="N12:N13"/>
    <mergeCell ref="O12:O13"/>
    <mergeCell ref="U9:U10"/>
    <mergeCell ref="N4:U4"/>
    <mergeCell ref="N3:U3"/>
    <mergeCell ref="Q12:Q13"/>
    <mergeCell ref="R12:R13"/>
    <mergeCell ref="S12:S13"/>
    <mergeCell ref="T12:T13"/>
    <mergeCell ref="U12:U13"/>
    <mergeCell ref="B6:U6"/>
    <mergeCell ref="B8:U8"/>
    <mergeCell ref="L12:L13"/>
    <mergeCell ref="M12:M13"/>
    <mergeCell ref="B9:J9"/>
    <mergeCell ref="B11:B13"/>
    <mergeCell ref="C11:C13"/>
    <mergeCell ref="D11:D12"/>
  </mergeCells>
  <conditionalFormatting sqref="E11:H11">
    <cfRule type="expression" dxfId="1" priority="1" stopIfTrue="1">
      <formula>+IF((#REF!+#REF!+#REF!+#REF!+#REF!)&lt;&gt;$L11,1,0)</formula>
    </cfRule>
  </conditionalFormatting>
  <dataValidations count="3">
    <dataValidation type="list" allowBlank="1" showInputMessage="1" showErrorMessage="1" sqref="P11">
      <formula1>$Q$26:$Q$51</formula1>
    </dataValidation>
    <dataValidation type="list" allowBlank="1" showInputMessage="1" showErrorMessage="1" sqref="K11">
      <formula1>$I$20:$I$24</formula1>
    </dataValidation>
    <dataValidation type="list" allowBlank="1" showInputMessage="1" showErrorMessage="1" sqref="J11:J13">
      <formula1>$U$27:$U$35</formula1>
    </dataValidation>
  </dataValidations>
  <pageMargins left="0.7" right="0.7" top="0.75" bottom="0.75" header="0.3" footer="0.3"/>
  <ignoredErrors>
    <ignoredError sqref="Q11" formulaRange="1" unlockedFormula="1"/>
    <ignoredError sqref="Q12 R11" unlockedFormula="1"/>
  </ignoredErrors>
  <drawing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3:Z19"/>
  <sheetViews>
    <sheetView topLeftCell="V2" zoomScale="90" zoomScaleNormal="90" workbookViewId="0">
      <selection activeCell="X12" sqref="X12"/>
    </sheetView>
  </sheetViews>
  <sheetFormatPr baseColWidth="10" defaultRowHeight="15" x14ac:dyDescent="0.25"/>
  <cols>
    <col min="1" max="1" width="5.85546875" customWidth="1"/>
    <col min="2" max="2" width="17.85546875" customWidth="1"/>
    <col min="3" max="3" width="14.140625" customWidth="1"/>
    <col min="4" max="4" width="14.7109375" customWidth="1"/>
    <col min="5" max="5" width="6.140625" customWidth="1"/>
    <col min="6" max="7" width="6" customWidth="1"/>
    <col min="8" max="8" width="6.140625" customWidth="1"/>
    <col min="9" max="9" width="8.5703125" customWidth="1"/>
    <col min="10" max="11" width="14.7109375" customWidth="1"/>
    <col min="12" max="12" width="5.5703125" customWidth="1"/>
    <col min="13" max="13" width="18.28515625" customWidth="1"/>
    <col min="16" max="16" width="13" customWidth="1"/>
    <col min="17" max="17" width="17.42578125" customWidth="1"/>
    <col min="18" max="18" width="18.28515625" customWidth="1"/>
    <col min="21" max="21" width="19.5703125" customWidth="1"/>
    <col min="22" max="22" width="69.42578125" customWidth="1"/>
    <col min="23" max="23" width="60.42578125" customWidth="1"/>
    <col min="24" max="24" width="60.85546875" customWidth="1"/>
    <col min="25" max="25" width="70.7109375" customWidth="1"/>
    <col min="26" max="26" width="28.28515625" customWidth="1"/>
  </cols>
  <sheetData>
    <row r="3" spans="2:26" ht="15.75" x14ac:dyDescent="0.25">
      <c r="N3" s="584" t="s">
        <v>0</v>
      </c>
      <c r="O3" s="584"/>
      <c r="P3" s="584"/>
      <c r="Q3" s="584"/>
      <c r="R3" s="584"/>
      <c r="S3" s="584"/>
      <c r="T3" s="584"/>
      <c r="U3" s="584"/>
    </row>
    <row r="4" spans="2:26" ht="18" x14ac:dyDescent="0.25">
      <c r="N4" s="585" t="s">
        <v>2</v>
      </c>
      <c r="O4" s="585"/>
      <c r="P4" s="585"/>
      <c r="Q4" s="585"/>
      <c r="R4" s="585"/>
      <c r="S4" s="585"/>
      <c r="T4" s="585"/>
      <c r="U4" s="585"/>
    </row>
    <row r="6" spans="2:26" ht="16.5" x14ac:dyDescent="0.25">
      <c r="B6" s="523" t="s">
        <v>23</v>
      </c>
      <c r="C6" s="523"/>
      <c r="D6" s="523"/>
      <c r="E6" s="523"/>
      <c r="F6" s="523"/>
      <c r="G6" s="523"/>
      <c r="H6" s="523"/>
      <c r="I6" s="523"/>
      <c r="J6" s="523"/>
      <c r="K6" s="523"/>
      <c r="L6" s="523"/>
      <c r="M6" s="523"/>
      <c r="N6" s="523"/>
      <c r="O6" s="523"/>
      <c r="P6" s="523"/>
      <c r="Q6" s="523"/>
      <c r="R6" s="523"/>
      <c r="S6" s="523"/>
      <c r="T6" s="523"/>
      <c r="U6" s="523"/>
    </row>
    <row r="7" spans="2:26" ht="16.5" x14ac:dyDescent="0.25">
      <c r="B7" s="281" t="s">
        <v>154</v>
      </c>
      <c r="C7" s="281"/>
      <c r="D7" s="281"/>
      <c r="E7" s="281"/>
      <c r="F7" s="281"/>
      <c r="G7" s="281"/>
      <c r="H7" s="281"/>
      <c r="I7" s="281"/>
      <c r="J7" s="281"/>
      <c r="K7" s="281"/>
      <c r="L7" s="281"/>
      <c r="M7" s="281"/>
      <c r="N7" s="281"/>
      <c r="O7" s="281"/>
      <c r="P7" s="171"/>
      <c r="Q7" s="172"/>
      <c r="R7" s="172"/>
      <c r="S7" s="172"/>
      <c r="T7" s="172"/>
      <c r="U7" s="173"/>
      <c r="V7" s="40"/>
    </row>
    <row r="8" spans="2:26" ht="16.5" x14ac:dyDescent="0.25">
      <c r="B8" s="523" t="s">
        <v>155</v>
      </c>
      <c r="C8" s="523"/>
      <c r="D8" s="523"/>
      <c r="E8" s="523"/>
      <c r="F8" s="523"/>
      <c r="G8" s="523"/>
      <c r="H8" s="523"/>
      <c r="I8" s="523"/>
      <c r="J8" s="523"/>
      <c r="K8" s="523"/>
      <c r="L8" s="523"/>
      <c r="M8" s="523"/>
      <c r="N8" s="523"/>
      <c r="O8" s="523"/>
      <c r="P8" s="523"/>
      <c r="Q8" s="523"/>
      <c r="R8" s="523"/>
      <c r="S8" s="523"/>
      <c r="T8" s="523"/>
      <c r="U8" s="523"/>
      <c r="W8" s="816" t="s">
        <v>413</v>
      </c>
      <c r="X8" s="816"/>
      <c r="Y8" s="816"/>
    </row>
    <row r="9" spans="2:26" ht="15.75" x14ac:dyDescent="0.25">
      <c r="B9" s="517" t="s">
        <v>3</v>
      </c>
      <c r="C9" s="517"/>
      <c r="D9" s="517"/>
      <c r="E9" s="517"/>
      <c r="F9" s="517"/>
      <c r="G9" s="517"/>
      <c r="H9" s="517"/>
      <c r="I9" s="517"/>
      <c r="J9" s="517"/>
      <c r="K9" s="276"/>
      <c r="L9" s="517" t="s">
        <v>72</v>
      </c>
      <c r="M9" s="517"/>
      <c r="N9" s="517"/>
      <c r="O9" s="517"/>
      <c r="P9" s="517"/>
      <c r="Q9" s="511" t="s">
        <v>4</v>
      </c>
      <c r="R9" s="511"/>
      <c r="S9" s="511"/>
      <c r="T9" s="511"/>
      <c r="U9" s="522" t="s">
        <v>40</v>
      </c>
      <c r="W9" s="556" t="s">
        <v>410</v>
      </c>
      <c r="X9" s="557"/>
      <c r="Y9" s="757" t="s">
        <v>442</v>
      </c>
    </row>
    <row r="10" spans="2:26" ht="48.75" customHeight="1" x14ac:dyDescent="0.25">
      <c r="B10" s="274" t="s">
        <v>51</v>
      </c>
      <c r="C10" s="274" t="s">
        <v>12</v>
      </c>
      <c r="D10" s="274" t="s">
        <v>52</v>
      </c>
      <c r="E10" s="274" t="s">
        <v>24</v>
      </c>
      <c r="F10" s="274" t="s">
        <v>25</v>
      </c>
      <c r="G10" s="274" t="s">
        <v>26</v>
      </c>
      <c r="H10" s="274" t="s">
        <v>27</v>
      </c>
      <c r="I10" s="274" t="s">
        <v>28</v>
      </c>
      <c r="J10" s="274" t="s">
        <v>29</v>
      </c>
      <c r="K10" s="274" t="s">
        <v>47</v>
      </c>
      <c r="L10" s="280" t="s">
        <v>14</v>
      </c>
      <c r="M10" s="280" t="s">
        <v>79</v>
      </c>
      <c r="N10" s="280" t="s">
        <v>15</v>
      </c>
      <c r="O10" s="280" t="s">
        <v>16</v>
      </c>
      <c r="P10" s="274" t="s">
        <v>48</v>
      </c>
      <c r="Q10" s="280" t="s">
        <v>17</v>
      </c>
      <c r="R10" s="280" t="s">
        <v>18</v>
      </c>
      <c r="S10" s="280" t="s">
        <v>19</v>
      </c>
      <c r="T10" s="280" t="s">
        <v>361</v>
      </c>
      <c r="U10" s="522"/>
      <c r="V10" s="433" t="s">
        <v>423</v>
      </c>
      <c r="W10" s="293" t="s">
        <v>408</v>
      </c>
      <c r="X10" s="293" t="s">
        <v>409</v>
      </c>
      <c r="Y10" s="758"/>
    </row>
    <row r="11" spans="2:26" ht="145.5" customHeight="1" x14ac:dyDescent="0.25">
      <c r="B11" s="520" t="s">
        <v>292</v>
      </c>
      <c r="C11" s="580" t="s">
        <v>311</v>
      </c>
      <c r="D11" s="500" t="s">
        <v>312</v>
      </c>
      <c r="E11" s="832">
        <v>1</v>
      </c>
      <c r="F11" s="832">
        <v>1</v>
      </c>
      <c r="G11" s="832">
        <v>1</v>
      </c>
      <c r="H11" s="832">
        <v>1</v>
      </c>
      <c r="I11" s="833">
        <f>SUM(E11:H12)</f>
        <v>4</v>
      </c>
      <c r="J11" s="500" t="s">
        <v>313</v>
      </c>
      <c r="K11" s="502" t="s">
        <v>168</v>
      </c>
      <c r="L11" s="333">
        <v>1</v>
      </c>
      <c r="M11" s="270" t="s">
        <v>314</v>
      </c>
      <c r="N11" s="270" t="s">
        <v>387</v>
      </c>
      <c r="O11" s="289">
        <v>1</v>
      </c>
      <c r="P11" s="492" t="s">
        <v>315</v>
      </c>
      <c r="Q11" s="283">
        <f>SUM(R11:T11)</f>
        <v>67977760</v>
      </c>
      <c r="R11" s="287">
        <f>70000000-2022240</f>
        <v>67977760</v>
      </c>
      <c r="S11" s="287"/>
      <c r="T11" s="287"/>
      <c r="U11" s="275">
        <v>25634661</v>
      </c>
      <c r="V11" s="466" t="s">
        <v>642</v>
      </c>
      <c r="W11" s="468" t="s">
        <v>643</v>
      </c>
      <c r="X11" s="468" t="s">
        <v>727</v>
      </c>
      <c r="Y11" s="468" t="s">
        <v>644</v>
      </c>
      <c r="Z11" s="380" t="s">
        <v>726</v>
      </c>
    </row>
    <row r="12" spans="2:26" ht="197.25" customHeight="1" x14ac:dyDescent="0.25">
      <c r="B12" s="520"/>
      <c r="C12" s="580"/>
      <c r="D12" s="500"/>
      <c r="E12" s="832"/>
      <c r="F12" s="832"/>
      <c r="G12" s="832"/>
      <c r="H12" s="832"/>
      <c r="I12" s="833"/>
      <c r="J12" s="500"/>
      <c r="K12" s="502"/>
      <c r="L12" s="347">
        <v>2</v>
      </c>
      <c r="M12" s="76" t="s">
        <v>625</v>
      </c>
      <c r="N12" s="76" t="s">
        <v>626</v>
      </c>
      <c r="O12" s="346">
        <v>1</v>
      </c>
      <c r="P12" s="493"/>
      <c r="Q12" s="348">
        <f>SUM(R13:T13)</f>
        <v>0</v>
      </c>
      <c r="R12" s="349">
        <v>0</v>
      </c>
      <c r="S12" s="349"/>
      <c r="T12" s="349"/>
      <c r="U12" s="67">
        <v>0</v>
      </c>
      <c r="V12" s="466" t="s">
        <v>562</v>
      </c>
      <c r="W12" s="468" t="s">
        <v>627</v>
      </c>
      <c r="X12" s="468" t="s">
        <v>522</v>
      </c>
      <c r="Y12" s="468" t="s">
        <v>728</v>
      </c>
      <c r="Z12" s="380" t="s">
        <v>561</v>
      </c>
    </row>
    <row r="13" spans="2:26" ht="75.75" customHeight="1" x14ac:dyDescent="0.25">
      <c r="B13" s="520"/>
      <c r="C13" s="580"/>
      <c r="D13" s="76" t="s">
        <v>316</v>
      </c>
      <c r="E13" s="290">
        <v>0</v>
      </c>
      <c r="F13" s="290">
        <v>0</v>
      </c>
      <c r="G13" s="290">
        <v>0</v>
      </c>
      <c r="H13" s="290">
        <v>1</v>
      </c>
      <c r="I13" s="291">
        <f>SUM(E13:H14)</f>
        <v>1</v>
      </c>
      <c r="J13" s="76" t="s">
        <v>313</v>
      </c>
      <c r="K13" s="502"/>
      <c r="L13" s="347"/>
      <c r="M13" s="76"/>
      <c r="N13" s="76"/>
      <c r="O13" s="346"/>
      <c r="P13" s="495"/>
      <c r="Q13" s="348"/>
      <c r="R13" s="349"/>
      <c r="S13" s="349"/>
      <c r="T13" s="349"/>
      <c r="U13" s="67"/>
    </row>
    <row r="14" spans="2:26" ht="15.75" x14ac:dyDescent="0.25">
      <c r="B14" s="635" t="s">
        <v>53</v>
      </c>
      <c r="C14" s="635"/>
      <c r="D14" s="635"/>
      <c r="E14" s="635"/>
      <c r="F14" s="635"/>
      <c r="G14" s="635"/>
      <c r="H14" s="635"/>
      <c r="I14" s="635"/>
      <c r="J14" s="635"/>
      <c r="K14" s="635"/>
      <c r="L14" s="635"/>
      <c r="M14" s="635"/>
      <c r="N14" s="635"/>
      <c r="O14" s="635"/>
      <c r="P14" s="635"/>
      <c r="Q14" s="152">
        <f>Q11+Q13</f>
        <v>67977760</v>
      </c>
      <c r="R14" s="89">
        <f>SUBTOTAL(9,R11:R13)</f>
        <v>67977760</v>
      </c>
      <c r="S14" s="89">
        <f>SUBTOTAL(9,S11:S13)</f>
        <v>0</v>
      </c>
      <c r="T14" s="89">
        <f>SUBTOTAL(9,T11:T13)</f>
        <v>0</v>
      </c>
      <c r="U14" s="345">
        <f>U11+U13</f>
        <v>25634661</v>
      </c>
    </row>
    <row r="15" spans="2:26" x14ac:dyDescent="0.25">
      <c r="B15" s="629" t="s">
        <v>500</v>
      </c>
      <c r="C15" s="629"/>
      <c r="D15" s="629"/>
      <c r="E15" s="629"/>
      <c r="F15" s="629"/>
      <c r="G15" s="629"/>
      <c r="H15" s="629"/>
      <c r="I15" s="629"/>
      <c r="J15" s="629"/>
      <c r="K15" s="629"/>
      <c r="L15" s="629"/>
      <c r="M15" s="629"/>
      <c r="N15" s="629"/>
      <c r="O15" s="629"/>
      <c r="P15" s="629"/>
      <c r="Q15" s="629"/>
      <c r="R15" s="629"/>
      <c r="S15" s="629"/>
      <c r="T15" s="629"/>
      <c r="U15" s="629"/>
    </row>
    <row r="16" spans="2:26" x14ac:dyDescent="0.25">
      <c r="B16" s="243" t="s">
        <v>416</v>
      </c>
    </row>
    <row r="17" spans="21:21" ht="90" x14ac:dyDescent="0.25">
      <c r="U17" s="316" t="s">
        <v>624</v>
      </c>
    </row>
    <row r="19" spans="21:21" x14ac:dyDescent="0.25">
      <c r="U19" s="317"/>
    </row>
  </sheetData>
  <mergeCells count="24">
    <mergeCell ref="B15:U15"/>
    <mergeCell ref="W8:Y8"/>
    <mergeCell ref="N3:U3"/>
    <mergeCell ref="N4:U4"/>
    <mergeCell ref="B6:U6"/>
    <mergeCell ref="B8:U8"/>
    <mergeCell ref="B9:J9"/>
    <mergeCell ref="L9:P9"/>
    <mergeCell ref="Q9:T9"/>
    <mergeCell ref="U9:U10"/>
    <mergeCell ref="B14:P14"/>
    <mergeCell ref="H11:H12"/>
    <mergeCell ref="I11:I12"/>
    <mergeCell ref="J11:J12"/>
    <mergeCell ref="K11:K13"/>
    <mergeCell ref="W9:X9"/>
    <mergeCell ref="Y9:Y10"/>
    <mergeCell ref="P11:P13"/>
    <mergeCell ref="B11:B13"/>
    <mergeCell ref="C11:C13"/>
    <mergeCell ref="D11:D12"/>
    <mergeCell ref="E11:E12"/>
    <mergeCell ref="F11:F12"/>
    <mergeCell ref="G11:G12"/>
  </mergeCells>
  <conditionalFormatting sqref="E11:H11">
    <cfRule type="expression" dxfId="0" priority="1" stopIfTrue="1">
      <formula>+IF((#REF!+#REF!+#REF!+#REF!+#REF!)&lt;&gt;$L11,1,0)</formula>
    </cfRule>
  </conditionalFormatting>
  <dataValidations count="3">
    <dataValidation type="list" allowBlank="1" showInputMessage="1" showErrorMessage="1" sqref="J11:J13">
      <formula1>$U$28:$U$36</formula1>
    </dataValidation>
    <dataValidation type="list" allowBlank="1" showInputMessage="1" showErrorMessage="1" sqref="K11">
      <formula1>$I$21:$I$25</formula1>
    </dataValidation>
    <dataValidation type="list" allowBlank="1" showInputMessage="1" showErrorMessage="1" sqref="P11">
      <formula1>$Q$27:$Q$52</formula1>
    </dataValidation>
  </dataValidations>
  <pageMargins left="0.7" right="0.7" top="0.75" bottom="0.75" header="0.3" footer="0.3"/>
  <pageSetup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W67"/>
  <sheetViews>
    <sheetView topLeftCell="A22" zoomScale="90" zoomScaleNormal="90" workbookViewId="0">
      <selection activeCell="C30" sqref="C30:C64"/>
    </sheetView>
  </sheetViews>
  <sheetFormatPr baseColWidth="10" defaultRowHeight="15" x14ac:dyDescent="0.25"/>
  <cols>
    <col min="2" max="2" width="21.42578125" customWidth="1"/>
    <col min="3" max="3" width="18.7109375" customWidth="1"/>
    <col min="4" max="4" width="19" customWidth="1"/>
    <col min="5" max="5" width="7" customWidth="1"/>
    <col min="6" max="7" width="6.5703125" customWidth="1"/>
    <col min="8" max="8" width="5.85546875" customWidth="1"/>
    <col min="11" max="11" width="25.42578125" customWidth="1"/>
    <col min="12" max="12" width="6.140625" customWidth="1"/>
    <col min="13" max="13" width="23.28515625" customWidth="1"/>
    <col min="14" max="14" width="19.85546875" customWidth="1"/>
    <col min="15" max="15" width="9.7109375" customWidth="1"/>
    <col min="16" max="16" width="20.85546875" customWidth="1"/>
    <col min="17" max="17" width="16.85546875" customWidth="1"/>
    <col min="18" max="18" width="18.28515625" customWidth="1"/>
    <col min="19" max="19" width="16.28515625" customWidth="1"/>
    <col min="20" max="20" width="16" customWidth="1"/>
    <col min="21" max="21" width="18.28515625" customWidth="1"/>
    <col min="23" max="23" width="15.140625" bestFit="1" customWidth="1"/>
  </cols>
  <sheetData>
    <row r="1" spans="1:21" ht="15.75" x14ac:dyDescent="0.25">
      <c r="N1" s="536" t="s">
        <v>0</v>
      </c>
      <c r="O1" s="536"/>
      <c r="P1" s="536"/>
      <c r="Q1" s="536"/>
      <c r="R1" s="536"/>
      <c r="S1" s="536"/>
      <c r="T1" s="536"/>
      <c r="U1" s="536"/>
    </row>
    <row r="2" spans="1:21" ht="18.75" x14ac:dyDescent="0.3">
      <c r="R2" s="537" t="s">
        <v>326</v>
      </c>
      <c r="S2" s="537"/>
      <c r="T2" s="537"/>
      <c r="U2" s="537"/>
    </row>
    <row r="4" spans="1:21" ht="16.5" x14ac:dyDescent="0.3">
      <c r="A4" s="161"/>
      <c r="B4" s="523" t="s">
        <v>171</v>
      </c>
      <c r="C4" s="523"/>
      <c r="D4" s="523"/>
      <c r="E4" s="523"/>
      <c r="F4" s="523"/>
      <c r="G4" s="523"/>
      <c r="H4" s="523"/>
      <c r="I4" s="523"/>
      <c r="J4" s="523"/>
      <c r="K4" s="523"/>
      <c r="L4" s="523"/>
      <c r="M4" s="523"/>
      <c r="N4" s="523"/>
      <c r="O4" s="523"/>
      <c r="P4" s="523"/>
      <c r="Q4" s="523"/>
      <c r="R4" s="523"/>
      <c r="S4" s="523"/>
      <c r="T4" s="523"/>
      <c r="U4" s="523"/>
    </row>
    <row r="5" spans="1:21" ht="16.5" x14ac:dyDescent="0.3">
      <c r="A5" s="161"/>
      <c r="B5" s="523" t="s">
        <v>172</v>
      </c>
      <c r="C5" s="523"/>
      <c r="D5" s="523"/>
      <c r="E5" s="523"/>
      <c r="F5" s="523"/>
      <c r="G5" s="523"/>
      <c r="H5" s="523"/>
      <c r="I5" s="523"/>
      <c r="J5" s="523"/>
      <c r="K5" s="523"/>
      <c r="L5" s="523"/>
      <c r="M5" s="523"/>
      <c r="N5" s="523"/>
      <c r="O5" s="523"/>
      <c r="P5" s="523"/>
      <c r="Q5" s="523"/>
      <c r="R5" s="523"/>
      <c r="S5" s="523"/>
      <c r="T5" s="523"/>
      <c r="U5" s="523"/>
    </row>
    <row r="6" spans="1:21" ht="16.5" x14ac:dyDescent="0.3">
      <c r="A6" s="161"/>
      <c r="B6" s="523" t="s">
        <v>173</v>
      </c>
      <c r="C6" s="523"/>
      <c r="D6" s="523"/>
      <c r="E6" s="523"/>
      <c r="F6" s="523"/>
      <c r="G6" s="523"/>
      <c r="H6" s="523"/>
      <c r="I6" s="523"/>
      <c r="J6" s="523"/>
      <c r="K6" s="523"/>
      <c r="L6" s="523"/>
      <c r="M6" s="523"/>
      <c r="N6" s="523"/>
      <c r="O6" s="523"/>
      <c r="P6" s="523"/>
      <c r="Q6" s="523"/>
      <c r="R6" s="523"/>
      <c r="S6" s="523"/>
      <c r="T6" s="523"/>
      <c r="U6" s="523"/>
    </row>
    <row r="7" spans="1:21" ht="16.5" x14ac:dyDescent="0.3">
      <c r="A7" s="161"/>
      <c r="B7" s="517" t="s">
        <v>3</v>
      </c>
      <c r="C7" s="517"/>
      <c r="D7" s="517"/>
      <c r="E7" s="517"/>
      <c r="F7" s="517"/>
      <c r="G7" s="517"/>
      <c r="H7" s="517"/>
      <c r="I7" s="517"/>
      <c r="J7" s="517"/>
      <c r="K7" s="84"/>
      <c r="L7" s="517" t="s">
        <v>72</v>
      </c>
      <c r="M7" s="517"/>
      <c r="N7" s="517"/>
      <c r="O7" s="517"/>
      <c r="P7" s="517"/>
      <c r="Q7" s="511" t="s">
        <v>4</v>
      </c>
      <c r="R7" s="511"/>
      <c r="S7" s="511"/>
      <c r="T7" s="511"/>
      <c r="U7" s="522" t="s">
        <v>40</v>
      </c>
    </row>
    <row r="8" spans="1:21" ht="52.5" customHeight="1" x14ac:dyDescent="0.3">
      <c r="A8" s="161"/>
      <c r="B8" s="85" t="s">
        <v>51</v>
      </c>
      <c r="C8" s="85" t="s">
        <v>12</v>
      </c>
      <c r="D8" s="85" t="s">
        <v>52</v>
      </c>
      <c r="E8" s="85" t="s">
        <v>24</v>
      </c>
      <c r="F8" s="85" t="s">
        <v>25</v>
      </c>
      <c r="G8" s="85" t="s">
        <v>26</v>
      </c>
      <c r="H8" s="85" t="s">
        <v>27</v>
      </c>
      <c r="I8" s="85" t="s">
        <v>28</v>
      </c>
      <c r="J8" s="85" t="s">
        <v>29</v>
      </c>
      <c r="K8" s="85" t="s">
        <v>47</v>
      </c>
      <c r="L8" s="86" t="s">
        <v>14</v>
      </c>
      <c r="M8" s="86" t="s">
        <v>79</v>
      </c>
      <c r="N8" s="86" t="s">
        <v>15</v>
      </c>
      <c r="O8" s="86" t="s">
        <v>16</v>
      </c>
      <c r="P8" s="85" t="s">
        <v>48</v>
      </c>
      <c r="Q8" s="86" t="s">
        <v>17</v>
      </c>
      <c r="R8" s="86" t="s">
        <v>18</v>
      </c>
      <c r="S8" s="86" t="s">
        <v>19</v>
      </c>
      <c r="T8" s="198" t="s">
        <v>361</v>
      </c>
      <c r="U8" s="522"/>
    </row>
    <row r="9" spans="1:21" ht="94.5" x14ac:dyDescent="0.3">
      <c r="A9" s="161"/>
      <c r="B9" s="520" t="s">
        <v>174</v>
      </c>
      <c r="C9" s="68" t="s">
        <v>175</v>
      </c>
      <c r="D9" s="59" t="s">
        <v>176</v>
      </c>
      <c r="E9" s="61">
        <v>24</v>
      </c>
      <c r="F9" s="61">
        <v>24</v>
      </c>
      <c r="G9" s="61">
        <v>24</v>
      </c>
      <c r="H9" s="61">
        <v>24</v>
      </c>
      <c r="I9" s="58">
        <f>SUM(E9:H9)</f>
        <v>96</v>
      </c>
      <c r="J9" s="59" t="s">
        <v>177</v>
      </c>
      <c r="K9" s="502" t="s">
        <v>30</v>
      </c>
      <c r="L9" s="58">
        <v>1</v>
      </c>
      <c r="M9" s="71" t="s">
        <v>178</v>
      </c>
      <c r="N9" s="60" t="s">
        <v>179</v>
      </c>
      <c r="O9" s="87">
        <v>24</v>
      </c>
      <c r="P9" s="60" t="s">
        <v>180</v>
      </c>
      <c r="Q9" s="65">
        <f>R9+S9+T9</f>
        <v>78336000</v>
      </c>
      <c r="R9" s="139">
        <f>78336000-26112000</f>
        <v>52224000</v>
      </c>
      <c r="S9" s="67">
        <v>0</v>
      </c>
      <c r="T9" s="67">
        <v>26112000</v>
      </c>
      <c r="U9" s="140">
        <v>0</v>
      </c>
    </row>
    <row r="10" spans="1:21" ht="54" x14ac:dyDescent="0.3">
      <c r="A10" s="161"/>
      <c r="B10" s="520"/>
      <c r="C10" s="68" t="s">
        <v>181</v>
      </c>
      <c r="D10" s="59" t="s">
        <v>182</v>
      </c>
      <c r="E10" s="61">
        <v>0</v>
      </c>
      <c r="F10" s="141">
        <v>0.25</v>
      </c>
      <c r="G10" s="141">
        <v>0.75</v>
      </c>
      <c r="H10" s="141">
        <v>0</v>
      </c>
      <c r="I10" s="131">
        <v>1</v>
      </c>
      <c r="J10" s="59" t="s">
        <v>177</v>
      </c>
      <c r="K10" s="502"/>
      <c r="L10" s="58">
        <v>2</v>
      </c>
      <c r="M10" s="74" t="s">
        <v>183</v>
      </c>
      <c r="N10" s="76" t="s">
        <v>184</v>
      </c>
      <c r="O10" s="88">
        <v>0.25</v>
      </c>
      <c r="P10" s="60" t="s">
        <v>180</v>
      </c>
      <c r="Q10" s="65">
        <f>R10+S10+T10</f>
        <v>0</v>
      </c>
      <c r="R10" s="139">
        <v>0</v>
      </c>
      <c r="S10" s="67">
        <v>0</v>
      </c>
      <c r="T10" s="67">
        <v>0</v>
      </c>
      <c r="U10" s="140">
        <v>0</v>
      </c>
    </row>
    <row r="11" spans="1:21" ht="16.5" x14ac:dyDescent="0.3">
      <c r="A11" s="161"/>
      <c r="B11" s="523" t="s">
        <v>23</v>
      </c>
      <c r="C11" s="523"/>
      <c r="D11" s="523"/>
      <c r="E11" s="523"/>
      <c r="F11" s="523"/>
      <c r="G11" s="523"/>
      <c r="H11" s="523"/>
      <c r="I11" s="523"/>
      <c r="J11" s="523"/>
      <c r="K11" s="523"/>
      <c r="L11" s="523"/>
      <c r="M11" s="523"/>
      <c r="N11" s="523"/>
      <c r="O11" s="523"/>
      <c r="P11" s="523"/>
      <c r="Q11" s="523"/>
      <c r="R11" s="523"/>
      <c r="S11" s="523"/>
      <c r="T11" s="523"/>
      <c r="U11" s="523"/>
    </row>
    <row r="12" spans="1:21" ht="16.5" x14ac:dyDescent="0.3">
      <c r="A12" s="161"/>
      <c r="B12" s="523" t="s">
        <v>46</v>
      </c>
      <c r="C12" s="523"/>
      <c r="D12" s="523"/>
      <c r="E12" s="523"/>
      <c r="F12" s="523"/>
      <c r="G12" s="523"/>
      <c r="H12" s="523"/>
      <c r="I12" s="523"/>
      <c r="J12" s="523"/>
      <c r="K12" s="523"/>
      <c r="L12" s="523"/>
      <c r="M12" s="523"/>
      <c r="N12" s="523"/>
      <c r="O12" s="523"/>
      <c r="P12" s="523"/>
      <c r="Q12" s="523"/>
      <c r="R12" s="523"/>
      <c r="S12" s="523"/>
      <c r="T12" s="523"/>
      <c r="U12" s="523"/>
    </row>
    <row r="13" spans="1:21" ht="16.5" x14ac:dyDescent="0.3">
      <c r="A13" s="161"/>
      <c r="B13" s="523" t="s">
        <v>185</v>
      </c>
      <c r="C13" s="523"/>
      <c r="D13" s="523"/>
      <c r="E13" s="523"/>
      <c r="F13" s="523"/>
      <c r="G13" s="523"/>
      <c r="H13" s="523"/>
      <c r="I13" s="523"/>
      <c r="J13" s="523"/>
      <c r="K13" s="523"/>
      <c r="L13" s="523"/>
      <c r="M13" s="523"/>
      <c r="N13" s="523"/>
      <c r="O13" s="523"/>
      <c r="P13" s="523"/>
      <c r="Q13" s="523"/>
      <c r="R13" s="523"/>
      <c r="S13" s="523"/>
      <c r="T13" s="523"/>
      <c r="U13" s="523"/>
    </row>
    <row r="14" spans="1:21" ht="16.5" x14ac:dyDescent="0.3">
      <c r="A14" s="161"/>
      <c r="B14" s="517" t="s">
        <v>3</v>
      </c>
      <c r="C14" s="517"/>
      <c r="D14" s="517"/>
      <c r="E14" s="517"/>
      <c r="F14" s="517"/>
      <c r="G14" s="517"/>
      <c r="H14" s="517"/>
      <c r="I14" s="517"/>
      <c r="J14" s="517"/>
      <c r="K14" s="84"/>
      <c r="L14" s="517" t="s">
        <v>72</v>
      </c>
      <c r="M14" s="517"/>
      <c r="N14" s="517"/>
      <c r="O14" s="517"/>
      <c r="P14" s="517"/>
      <c r="Q14" s="511" t="s">
        <v>186</v>
      </c>
      <c r="R14" s="511"/>
      <c r="S14" s="511"/>
      <c r="T14" s="511"/>
      <c r="U14" s="522" t="s">
        <v>40</v>
      </c>
    </row>
    <row r="15" spans="1:21" ht="39.75" customHeight="1" x14ac:dyDescent="0.3">
      <c r="A15" s="161"/>
      <c r="B15" s="85" t="s">
        <v>51</v>
      </c>
      <c r="C15" s="85" t="s">
        <v>12</v>
      </c>
      <c r="D15" s="85" t="s">
        <v>52</v>
      </c>
      <c r="E15" s="85" t="s">
        <v>24</v>
      </c>
      <c r="F15" s="85" t="s">
        <v>25</v>
      </c>
      <c r="G15" s="85" t="s">
        <v>26</v>
      </c>
      <c r="H15" s="85" t="s">
        <v>27</v>
      </c>
      <c r="I15" s="85" t="s">
        <v>28</v>
      </c>
      <c r="J15" s="85" t="s">
        <v>29</v>
      </c>
      <c r="K15" s="85" t="s">
        <v>47</v>
      </c>
      <c r="L15" s="86" t="s">
        <v>14</v>
      </c>
      <c r="M15" s="86" t="s">
        <v>79</v>
      </c>
      <c r="N15" s="86" t="s">
        <v>15</v>
      </c>
      <c r="O15" s="86" t="s">
        <v>16</v>
      </c>
      <c r="P15" s="85" t="s">
        <v>48</v>
      </c>
      <c r="Q15" s="86" t="s">
        <v>17</v>
      </c>
      <c r="R15" s="86" t="s">
        <v>18</v>
      </c>
      <c r="S15" s="86" t="s">
        <v>19</v>
      </c>
      <c r="T15" s="199" t="s">
        <v>361</v>
      </c>
      <c r="U15" s="522"/>
    </row>
    <row r="16" spans="1:21" ht="79.5" customHeight="1" x14ac:dyDescent="0.3">
      <c r="A16" s="161"/>
      <c r="B16" s="519" t="s">
        <v>187</v>
      </c>
      <c r="C16" s="59" t="s">
        <v>188</v>
      </c>
      <c r="D16" s="59" t="s">
        <v>189</v>
      </c>
      <c r="E16" s="142">
        <v>1</v>
      </c>
      <c r="F16" s="142">
        <v>0</v>
      </c>
      <c r="G16" s="142">
        <v>1</v>
      </c>
      <c r="H16" s="142">
        <v>0</v>
      </c>
      <c r="I16" s="242">
        <f>SUM(E16:H16)</f>
        <v>2</v>
      </c>
      <c r="J16" s="59" t="s">
        <v>177</v>
      </c>
      <c r="K16" s="59" t="s">
        <v>30</v>
      </c>
      <c r="L16" s="58">
        <v>3</v>
      </c>
      <c r="M16" s="59" t="s">
        <v>190</v>
      </c>
      <c r="N16" s="59" t="s">
        <v>189</v>
      </c>
      <c r="O16" s="87">
        <v>1</v>
      </c>
      <c r="P16" s="59" t="s">
        <v>191</v>
      </c>
      <c r="Q16" s="143">
        <f>R16+S16+T16</f>
        <v>0</v>
      </c>
      <c r="R16" s="63">
        <v>0</v>
      </c>
      <c r="S16" s="63">
        <v>0</v>
      </c>
      <c r="T16" s="63">
        <v>0</v>
      </c>
      <c r="U16" s="63">
        <v>0</v>
      </c>
    </row>
    <row r="17" spans="1:23" ht="69.75" customHeight="1" x14ac:dyDescent="0.3">
      <c r="A17" s="161"/>
      <c r="B17" s="519"/>
      <c r="C17" s="59" t="s">
        <v>192</v>
      </c>
      <c r="D17" s="59" t="s">
        <v>193</v>
      </c>
      <c r="E17" s="57">
        <v>27</v>
      </c>
      <c r="F17" s="57">
        <v>27</v>
      </c>
      <c r="G17" s="57">
        <v>27</v>
      </c>
      <c r="H17" s="57">
        <v>27</v>
      </c>
      <c r="I17" s="58">
        <v>27</v>
      </c>
      <c r="J17" s="59" t="s">
        <v>177</v>
      </c>
      <c r="K17" s="59" t="s">
        <v>113</v>
      </c>
      <c r="L17" s="58">
        <v>4</v>
      </c>
      <c r="M17" s="59" t="s">
        <v>194</v>
      </c>
      <c r="N17" s="59" t="s">
        <v>193</v>
      </c>
      <c r="O17" s="137">
        <f>E17</f>
        <v>27</v>
      </c>
      <c r="P17" s="59" t="s">
        <v>191</v>
      </c>
      <c r="Q17" s="143">
        <f>R17+S17+T17</f>
        <v>0</v>
      </c>
      <c r="R17" s="139">
        <v>0</v>
      </c>
      <c r="S17" s="63">
        <v>0</v>
      </c>
      <c r="T17" s="63">
        <v>0</v>
      </c>
      <c r="U17" s="83">
        <f>968658537-4000000</f>
        <v>964658537</v>
      </c>
    </row>
    <row r="18" spans="1:23" ht="90" customHeight="1" x14ac:dyDescent="0.3">
      <c r="A18" s="161"/>
      <c r="B18" s="520" t="s">
        <v>195</v>
      </c>
      <c r="C18" s="59" t="s">
        <v>196</v>
      </c>
      <c r="D18" s="59" t="s">
        <v>197</v>
      </c>
      <c r="E18" s="57">
        <v>0</v>
      </c>
      <c r="F18" s="57">
        <v>1</v>
      </c>
      <c r="G18" s="57">
        <v>0</v>
      </c>
      <c r="H18" s="57">
        <v>0</v>
      </c>
      <c r="I18" s="244">
        <f>SUM(E18:H18)</f>
        <v>1</v>
      </c>
      <c r="J18" s="59" t="s">
        <v>177</v>
      </c>
      <c r="K18" s="59" t="s">
        <v>30</v>
      </c>
      <c r="L18" s="510">
        <v>5</v>
      </c>
      <c r="M18" s="502" t="s">
        <v>196</v>
      </c>
      <c r="N18" s="502" t="s">
        <v>198</v>
      </c>
      <c r="O18" s="521">
        <v>1</v>
      </c>
      <c r="P18" s="502" t="s">
        <v>199</v>
      </c>
      <c r="Q18" s="518">
        <f>R18+S18+T18</f>
        <v>37785600</v>
      </c>
      <c r="R18" s="513">
        <v>37785600</v>
      </c>
      <c r="S18" s="512">
        <v>0</v>
      </c>
      <c r="T18" s="512">
        <v>0</v>
      </c>
      <c r="U18" s="512">
        <v>0</v>
      </c>
    </row>
    <row r="19" spans="1:23" ht="86.25" customHeight="1" x14ac:dyDescent="0.3">
      <c r="A19" s="161"/>
      <c r="B19" s="520"/>
      <c r="C19" s="59" t="s">
        <v>200</v>
      </c>
      <c r="D19" s="60" t="s">
        <v>201</v>
      </c>
      <c r="E19" s="61">
        <v>1</v>
      </c>
      <c r="F19" s="144">
        <v>0</v>
      </c>
      <c r="G19" s="144">
        <v>0</v>
      </c>
      <c r="H19" s="144">
        <v>0</v>
      </c>
      <c r="I19" s="58">
        <f>SUM(E19:H19)</f>
        <v>1</v>
      </c>
      <c r="J19" s="59" t="s">
        <v>177</v>
      </c>
      <c r="K19" s="59" t="s">
        <v>30</v>
      </c>
      <c r="L19" s="510"/>
      <c r="M19" s="502"/>
      <c r="N19" s="502"/>
      <c r="O19" s="521"/>
      <c r="P19" s="502"/>
      <c r="Q19" s="518"/>
      <c r="R19" s="513"/>
      <c r="S19" s="512"/>
      <c r="T19" s="512"/>
      <c r="U19" s="512"/>
    </row>
    <row r="20" spans="1:23" ht="16.5" x14ac:dyDescent="0.3">
      <c r="A20" s="161"/>
      <c r="B20" s="523" t="s">
        <v>202</v>
      </c>
      <c r="C20" s="523"/>
      <c r="D20" s="523"/>
      <c r="E20" s="523"/>
      <c r="F20" s="523"/>
      <c r="G20" s="523"/>
      <c r="H20" s="523"/>
      <c r="I20" s="523"/>
      <c r="J20" s="523"/>
      <c r="K20" s="523"/>
      <c r="L20" s="523"/>
      <c r="M20" s="523"/>
      <c r="N20" s="523"/>
      <c r="O20" s="523"/>
      <c r="P20" s="523"/>
      <c r="Q20" s="523"/>
      <c r="R20" s="523"/>
      <c r="S20" s="523"/>
      <c r="T20" s="523"/>
      <c r="U20" s="523"/>
    </row>
    <row r="21" spans="1:23" ht="16.5" x14ac:dyDescent="0.3">
      <c r="A21" s="161"/>
      <c r="B21" s="523" t="s">
        <v>203</v>
      </c>
      <c r="C21" s="523"/>
      <c r="D21" s="523"/>
      <c r="E21" s="523"/>
      <c r="F21" s="523"/>
      <c r="G21" s="523"/>
      <c r="H21" s="523"/>
      <c r="I21" s="523"/>
      <c r="J21" s="523"/>
      <c r="K21" s="523"/>
      <c r="L21" s="523"/>
      <c r="M21" s="523"/>
      <c r="N21" s="523"/>
      <c r="O21" s="523"/>
      <c r="P21" s="523"/>
      <c r="Q21" s="523"/>
      <c r="R21" s="523"/>
      <c r="S21" s="523"/>
      <c r="T21" s="523"/>
      <c r="U21" s="523"/>
    </row>
    <row r="22" spans="1:23" ht="16.5" x14ac:dyDescent="0.3">
      <c r="A22" s="161"/>
      <c r="B22" s="523" t="s">
        <v>204</v>
      </c>
      <c r="C22" s="523"/>
      <c r="D22" s="523"/>
      <c r="E22" s="523"/>
      <c r="F22" s="523"/>
      <c r="G22" s="523"/>
      <c r="H22" s="523"/>
      <c r="I22" s="523"/>
      <c r="J22" s="523"/>
      <c r="K22" s="523"/>
      <c r="L22" s="523"/>
      <c r="M22" s="523"/>
      <c r="N22" s="523"/>
      <c r="O22" s="523"/>
      <c r="P22" s="523"/>
      <c r="Q22" s="523"/>
      <c r="R22" s="523"/>
      <c r="S22" s="523"/>
      <c r="T22" s="523"/>
      <c r="U22" s="523"/>
    </row>
    <row r="23" spans="1:23" ht="16.5" x14ac:dyDescent="0.3">
      <c r="A23" s="161"/>
      <c r="B23" s="517" t="s">
        <v>3</v>
      </c>
      <c r="C23" s="517"/>
      <c r="D23" s="517"/>
      <c r="E23" s="517"/>
      <c r="F23" s="517"/>
      <c r="G23" s="517"/>
      <c r="H23" s="517"/>
      <c r="I23" s="517"/>
      <c r="J23" s="517"/>
      <c r="K23" s="84"/>
      <c r="L23" s="517" t="s">
        <v>72</v>
      </c>
      <c r="M23" s="517"/>
      <c r="N23" s="517"/>
      <c r="O23" s="517"/>
      <c r="P23" s="517"/>
      <c r="Q23" s="511" t="s">
        <v>4</v>
      </c>
      <c r="R23" s="511"/>
      <c r="S23" s="511"/>
      <c r="T23" s="511"/>
      <c r="U23" s="511" t="s">
        <v>40</v>
      </c>
    </row>
    <row r="24" spans="1:23" ht="45" customHeight="1" x14ac:dyDescent="0.3">
      <c r="A24" s="161"/>
      <c r="B24" s="85" t="s">
        <v>51</v>
      </c>
      <c r="C24" s="85" t="s">
        <v>12</v>
      </c>
      <c r="D24" s="85" t="s">
        <v>52</v>
      </c>
      <c r="E24" s="85" t="s">
        <v>24</v>
      </c>
      <c r="F24" s="85" t="s">
        <v>25</v>
      </c>
      <c r="G24" s="85" t="s">
        <v>26</v>
      </c>
      <c r="H24" s="85" t="s">
        <v>27</v>
      </c>
      <c r="I24" s="85" t="s">
        <v>28</v>
      </c>
      <c r="J24" s="85" t="s">
        <v>29</v>
      </c>
      <c r="K24" s="85" t="s">
        <v>47</v>
      </c>
      <c r="L24" s="86" t="s">
        <v>14</v>
      </c>
      <c r="M24" s="148" t="s">
        <v>79</v>
      </c>
      <c r="N24" s="86" t="s">
        <v>15</v>
      </c>
      <c r="O24" s="86" t="s">
        <v>16</v>
      </c>
      <c r="P24" s="85" t="s">
        <v>48</v>
      </c>
      <c r="Q24" s="86" t="s">
        <v>17</v>
      </c>
      <c r="R24" s="86" t="s">
        <v>18</v>
      </c>
      <c r="S24" s="86" t="s">
        <v>19</v>
      </c>
      <c r="T24" s="199" t="s">
        <v>361</v>
      </c>
      <c r="U24" s="511"/>
    </row>
    <row r="25" spans="1:23" ht="15" customHeight="1" x14ac:dyDescent="0.3">
      <c r="A25" s="161"/>
      <c r="B25" s="507" t="s">
        <v>205</v>
      </c>
      <c r="C25" s="499" t="s">
        <v>206</v>
      </c>
      <c r="D25" s="500" t="s">
        <v>207</v>
      </c>
      <c r="E25" s="501">
        <v>4</v>
      </c>
      <c r="F25" s="501">
        <v>0</v>
      </c>
      <c r="G25" s="501">
        <v>0</v>
      </c>
      <c r="H25" s="501">
        <v>0</v>
      </c>
      <c r="I25" s="510">
        <f>SUM(E25:H25)</f>
        <v>4</v>
      </c>
      <c r="J25" s="500" t="s">
        <v>177</v>
      </c>
      <c r="K25" s="500" t="s">
        <v>30</v>
      </c>
      <c r="L25" s="510">
        <v>6</v>
      </c>
      <c r="M25" s="502" t="s">
        <v>218</v>
      </c>
      <c r="N25" s="502" t="s">
        <v>208</v>
      </c>
      <c r="O25" s="488">
        <v>1</v>
      </c>
      <c r="P25" s="504" t="s">
        <v>219</v>
      </c>
      <c r="Q25" s="514">
        <f>R25+S25+T25</f>
        <v>41472000</v>
      </c>
      <c r="R25" s="513">
        <v>41472000</v>
      </c>
      <c r="S25" s="512">
        <v>0</v>
      </c>
      <c r="T25" s="512">
        <v>0</v>
      </c>
      <c r="U25" s="512">
        <v>0</v>
      </c>
    </row>
    <row r="26" spans="1:23" ht="40.5" customHeight="1" x14ac:dyDescent="0.3">
      <c r="A26" s="161"/>
      <c r="B26" s="507"/>
      <c r="C26" s="499"/>
      <c r="D26" s="500"/>
      <c r="E26" s="501"/>
      <c r="F26" s="501"/>
      <c r="G26" s="501"/>
      <c r="H26" s="501"/>
      <c r="I26" s="510"/>
      <c r="J26" s="500"/>
      <c r="K26" s="500"/>
      <c r="L26" s="510"/>
      <c r="M26" s="502"/>
      <c r="N26" s="502"/>
      <c r="O26" s="488"/>
      <c r="P26" s="505"/>
      <c r="Q26" s="515"/>
      <c r="R26" s="513"/>
      <c r="S26" s="512"/>
      <c r="T26" s="512"/>
      <c r="U26" s="512"/>
    </row>
    <row r="27" spans="1:23" ht="25.5" customHeight="1" x14ac:dyDescent="0.3">
      <c r="A27" s="161"/>
      <c r="B27" s="507"/>
      <c r="C27" s="502" t="s">
        <v>209</v>
      </c>
      <c r="D27" s="502" t="s">
        <v>210</v>
      </c>
      <c r="E27" s="501">
        <v>0</v>
      </c>
      <c r="F27" s="501">
        <v>1</v>
      </c>
      <c r="G27" s="509">
        <v>0</v>
      </c>
      <c r="H27" s="509">
        <v>0</v>
      </c>
      <c r="I27" s="538">
        <v>1</v>
      </c>
      <c r="J27" s="490" t="s">
        <v>177</v>
      </c>
      <c r="K27" s="502" t="s">
        <v>30</v>
      </c>
      <c r="L27" s="510"/>
      <c r="M27" s="502"/>
      <c r="N27" s="502" t="s">
        <v>212</v>
      </c>
      <c r="O27" s="489">
        <v>0.25</v>
      </c>
      <c r="P27" s="505"/>
      <c r="Q27" s="515"/>
      <c r="R27" s="513"/>
      <c r="S27" s="512"/>
      <c r="T27" s="512"/>
      <c r="U27" s="512"/>
    </row>
    <row r="28" spans="1:23" ht="41.25" customHeight="1" x14ac:dyDescent="0.3">
      <c r="A28" s="161"/>
      <c r="B28" s="507"/>
      <c r="C28" s="502"/>
      <c r="D28" s="502"/>
      <c r="E28" s="501"/>
      <c r="F28" s="501"/>
      <c r="G28" s="509"/>
      <c r="H28" s="509"/>
      <c r="I28" s="538"/>
      <c r="J28" s="490"/>
      <c r="K28" s="502"/>
      <c r="L28" s="510"/>
      <c r="M28" s="502"/>
      <c r="N28" s="502"/>
      <c r="O28" s="489"/>
      <c r="P28" s="505"/>
      <c r="Q28" s="515"/>
      <c r="R28" s="513"/>
      <c r="S28" s="512"/>
      <c r="T28" s="512"/>
      <c r="U28" s="512"/>
    </row>
    <row r="29" spans="1:23" ht="58.5" customHeight="1" x14ac:dyDescent="0.3">
      <c r="A29" s="161"/>
      <c r="B29" s="507"/>
      <c r="C29" s="60" t="s">
        <v>211</v>
      </c>
      <c r="D29" s="60" t="s">
        <v>210</v>
      </c>
      <c r="E29" s="145">
        <v>0</v>
      </c>
      <c r="F29" s="146">
        <v>0.25</v>
      </c>
      <c r="G29" s="146">
        <v>0.75</v>
      </c>
      <c r="H29" s="146">
        <v>0</v>
      </c>
      <c r="I29" s="146">
        <v>1</v>
      </c>
      <c r="J29" s="59" t="s">
        <v>177</v>
      </c>
      <c r="K29" s="59" t="s">
        <v>30</v>
      </c>
      <c r="L29" s="510"/>
      <c r="M29" s="502"/>
      <c r="N29" s="60" t="s">
        <v>214</v>
      </c>
      <c r="O29" s="162">
        <v>1</v>
      </c>
      <c r="P29" s="506"/>
      <c r="Q29" s="516"/>
      <c r="R29" s="513"/>
      <c r="S29" s="512"/>
      <c r="T29" s="512"/>
      <c r="U29" s="512"/>
    </row>
    <row r="30" spans="1:23" ht="15" customHeight="1" x14ac:dyDescent="0.3">
      <c r="A30" s="161"/>
      <c r="B30" s="507"/>
      <c r="C30" s="492" t="s">
        <v>213</v>
      </c>
      <c r="D30" s="492" t="s">
        <v>210</v>
      </c>
      <c r="E30" s="508">
        <v>0</v>
      </c>
      <c r="F30" s="494">
        <v>0.25</v>
      </c>
      <c r="G30" s="494">
        <v>0.25</v>
      </c>
      <c r="H30" s="494">
        <v>0.5</v>
      </c>
      <c r="I30" s="494">
        <v>1</v>
      </c>
      <c r="J30" s="492" t="s">
        <v>177</v>
      </c>
      <c r="K30" s="490" t="s">
        <v>30</v>
      </c>
      <c r="L30" s="491">
        <v>7</v>
      </c>
      <c r="M30" s="492" t="s">
        <v>220</v>
      </c>
      <c r="N30" s="496" t="s">
        <v>216</v>
      </c>
      <c r="O30" s="488">
        <v>100</v>
      </c>
      <c r="P30" s="504" t="s">
        <v>219</v>
      </c>
      <c r="Q30" s="527">
        <f>R30+S30+T30</f>
        <v>1034250746</v>
      </c>
      <c r="R30" s="530">
        <f>1069706400-35455654-218488000-70400000</f>
        <v>745362746</v>
      </c>
      <c r="S30" s="524">
        <v>0</v>
      </c>
      <c r="T30" s="524">
        <v>288888000</v>
      </c>
      <c r="U30" s="533">
        <f>10000000+4000000+8000000</f>
        <v>22000000</v>
      </c>
    </row>
    <row r="31" spans="1:23" ht="45" customHeight="1" x14ac:dyDescent="0.3">
      <c r="A31" s="161"/>
      <c r="B31" s="507"/>
      <c r="C31" s="493"/>
      <c r="D31" s="493"/>
      <c r="E31" s="508"/>
      <c r="F31" s="494"/>
      <c r="G31" s="494"/>
      <c r="H31" s="494"/>
      <c r="I31" s="494"/>
      <c r="J31" s="493"/>
      <c r="K31" s="490"/>
      <c r="L31" s="491"/>
      <c r="M31" s="493"/>
      <c r="N31" s="497"/>
      <c r="O31" s="488"/>
      <c r="P31" s="505"/>
      <c r="Q31" s="528"/>
      <c r="R31" s="531"/>
      <c r="S31" s="525"/>
      <c r="T31" s="525"/>
      <c r="U31" s="534"/>
      <c r="W31" s="188"/>
    </row>
    <row r="32" spans="1:23" ht="16.5" x14ac:dyDescent="0.3">
      <c r="A32" s="161"/>
      <c r="B32" s="507"/>
      <c r="C32" s="493"/>
      <c r="D32" s="493"/>
      <c r="E32" s="508"/>
      <c r="F32" s="494"/>
      <c r="G32" s="494"/>
      <c r="H32" s="494"/>
      <c r="I32" s="494"/>
      <c r="J32" s="493"/>
      <c r="K32" s="490"/>
      <c r="L32" s="491"/>
      <c r="M32" s="493"/>
      <c r="N32" s="497"/>
      <c r="O32" s="488"/>
      <c r="P32" s="505"/>
      <c r="Q32" s="528"/>
      <c r="R32" s="531"/>
      <c r="S32" s="525"/>
      <c r="T32" s="525"/>
      <c r="U32" s="534"/>
    </row>
    <row r="33" spans="1:21" ht="16.5" x14ac:dyDescent="0.3">
      <c r="A33" s="161"/>
      <c r="B33" s="507"/>
      <c r="C33" s="493"/>
      <c r="D33" s="493"/>
      <c r="E33" s="508"/>
      <c r="F33" s="494"/>
      <c r="G33" s="494"/>
      <c r="H33" s="494"/>
      <c r="I33" s="494"/>
      <c r="J33" s="493"/>
      <c r="K33" s="490"/>
      <c r="L33" s="491"/>
      <c r="M33" s="493"/>
      <c r="N33" s="498"/>
      <c r="O33" s="488"/>
      <c r="P33" s="505"/>
      <c r="Q33" s="528"/>
      <c r="R33" s="531"/>
      <c r="S33" s="525"/>
      <c r="T33" s="525"/>
      <c r="U33" s="534"/>
    </row>
    <row r="34" spans="1:21" ht="15" customHeight="1" x14ac:dyDescent="0.3">
      <c r="A34" s="161"/>
      <c r="B34" s="507"/>
      <c r="C34" s="493"/>
      <c r="D34" s="493"/>
      <c r="E34" s="508"/>
      <c r="F34" s="494"/>
      <c r="G34" s="494"/>
      <c r="H34" s="494"/>
      <c r="I34" s="494"/>
      <c r="J34" s="493"/>
      <c r="K34" s="490"/>
      <c r="L34" s="491"/>
      <c r="M34" s="493"/>
      <c r="N34" s="496" t="s">
        <v>217</v>
      </c>
      <c r="O34" s="489">
        <v>1</v>
      </c>
      <c r="P34" s="505"/>
      <c r="Q34" s="528"/>
      <c r="R34" s="531"/>
      <c r="S34" s="525"/>
      <c r="T34" s="525"/>
      <c r="U34" s="534"/>
    </row>
    <row r="35" spans="1:21" ht="16.5" x14ac:dyDescent="0.3">
      <c r="A35" s="161"/>
      <c r="B35" s="507"/>
      <c r="C35" s="493"/>
      <c r="D35" s="493"/>
      <c r="E35" s="508"/>
      <c r="F35" s="494"/>
      <c r="G35" s="494"/>
      <c r="H35" s="494"/>
      <c r="I35" s="494"/>
      <c r="J35" s="493"/>
      <c r="K35" s="490"/>
      <c r="L35" s="491"/>
      <c r="M35" s="493"/>
      <c r="N35" s="497"/>
      <c r="O35" s="489"/>
      <c r="P35" s="505"/>
      <c r="Q35" s="528"/>
      <c r="R35" s="531"/>
      <c r="S35" s="525"/>
      <c r="T35" s="525"/>
      <c r="U35" s="534"/>
    </row>
    <row r="36" spans="1:21" ht="16.5" x14ac:dyDescent="0.3">
      <c r="A36" s="161"/>
      <c r="B36" s="507"/>
      <c r="C36" s="493"/>
      <c r="D36" s="493"/>
      <c r="E36" s="508"/>
      <c r="F36" s="494"/>
      <c r="G36" s="494"/>
      <c r="H36" s="494"/>
      <c r="I36" s="494"/>
      <c r="J36" s="493"/>
      <c r="K36" s="490"/>
      <c r="L36" s="491"/>
      <c r="M36" s="493"/>
      <c r="N36" s="497"/>
      <c r="O36" s="489"/>
      <c r="P36" s="505"/>
      <c r="Q36" s="528"/>
      <c r="R36" s="531"/>
      <c r="S36" s="525"/>
      <c r="T36" s="525"/>
      <c r="U36" s="534"/>
    </row>
    <row r="37" spans="1:21" ht="16.5" customHeight="1" x14ac:dyDescent="0.3">
      <c r="A37" s="161"/>
      <c r="B37" s="507"/>
      <c r="C37" s="493"/>
      <c r="D37" s="493"/>
      <c r="E37" s="508"/>
      <c r="F37" s="494"/>
      <c r="G37" s="494"/>
      <c r="H37" s="494"/>
      <c r="I37" s="494"/>
      <c r="J37" s="493"/>
      <c r="K37" s="490"/>
      <c r="L37" s="491"/>
      <c r="M37" s="493"/>
      <c r="N37" s="497"/>
      <c r="O37" s="489"/>
      <c r="P37" s="505"/>
      <c r="Q37" s="528"/>
      <c r="R37" s="531"/>
      <c r="S37" s="525"/>
      <c r="T37" s="525"/>
      <c r="U37" s="534"/>
    </row>
    <row r="38" spans="1:21" ht="17.25" hidden="1" customHeight="1" x14ac:dyDescent="0.3">
      <c r="A38" s="161"/>
      <c r="B38" s="507"/>
      <c r="C38" s="493"/>
      <c r="D38" s="493"/>
      <c r="E38" s="508"/>
      <c r="F38" s="494"/>
      <c r="G38" s="494"/>
      <c r="H38" s="494"/>
      <c r="I38" s="494"/>
      <c r="J38" s="493"/>
      <c r="K38" s="490"/>
      <c r="L38" s="491"/>
      <c r="M38" s="493"/>
      <c r="N38" s="497"/>
      <c r="O38" s="489"/>
      <c r="P38" s="505"/>
      <c r="Q38" s="528"/>
      <c r="R38" s="531"/>
      <c r="S38" s="525"/>
      <c r="T38" s="525"/>
      <c r="U38" s="534"/>
    </row>
    <row r="39" spans="1:21" ht="15" hidden="1" customHeight="1" x14ac:dyDescent="0.3">
      <c r="A39" s="161"/>
      <c r="B39" s="507"/>
      <c r="C39" s="493"/>
      <c r="D39" s="493"/>
      <c r="E39" s="508"/>
      <c r="F39" s="494"/>
      <c r="G39" s="494"/>
      <c r="H39" s="494"/>
      <c r="I39" s="494"/>
      <c r="J39" s="493"/>
      <c r="K39" s="490"/>
      <c r="L39" s="491"/>
      <c r="M39" s="493"/>
      <c r="N39" s="497"/>
      <c r="O39" s="489"/>
      <c r="P39" s="506"/>
      <c r="Q39" s="528"/>
      <c r="R39" s="531"/>
      <c r="S39" s="525"/>
      <c r="T39" s="525"/>
      <c r="U39" s="534"/>
    </row>
    <row r="40" spans="1:21" ht="15" hidden="1" customHeight="1" x14ac:dyDescent="0.3">
      <c r="A40" s="161"/>
      <c r="B40" s="507"/>
      <c r="C40" s="493"/>
      <c r="D40" s="493"/>
      <c r="E40" s="508"/>
      <c r="F40" s="494"/>
      <c r="G40" s="494"/>
      <c r="H40" s="494"/>
      <c r="I40" s="494"/>
      <c r="J40" s="493"/>
      <c r="K40" s="490"/>
      <c r="L40" s="491"/>
      <c r="M40" s="493"/>
      <c r="N40" s="497"/>
      <c r="O40" s="489"/>
      <c r="P40" s="504"/>
      <c r="Q40" s="528"/>
      <c r="R40" s="531"/>
      <c r="S40" s="525"/>
      <c r="T40" s="525"/>
      <c r="U40" s="534"/>
    </row>
    <row r="41" spans="1:21" ht="15" hidden="1" customHeight="1" x14ac:dyDescent="0.3">
      <c r="A41" s="161"/>
      <c r="B41" s="507"/>
      <c r="C41" s="493"/>
      <c r="D41" s="493"/>
      <c r="E41" s="508"/>
      <c r="F41" s="494"/>
      <c r="G41" s="494"/>
      <c r="H41" s="494"/>
      <c r="I41" s="494"/>
      <c r="J41" s="493"/>
      <c r="K41" s="490"/>
      <c r="L41" s="491"/>
      <c r="M41" s="493"/>
      <c r="N41" s="497"/>
      <c r="O41" s="489"/>
      <c r="P41" s="505"/>
      <c r="Q41" s="528"/>
      <c r="R41" s="531"/>
      <c r="S41" s="525"/>
      <c r="T41" s="525"/>
      <c r="U41" s="534"/>
    </row>
    <row r="42" spans="1:21" ht="15" hidden="1" customHeight="1" x14ac:dyDescent="0.3">
      <c r="A42" s="161"/>
      <c r="B42" s="507"/>
      <c r="C42" s="493"/>
      <c r="D42" s="493"/>
      <c r="E42" s="508"/>
      <c r="F42" s="494"/>
      <c r="G42" s="494"/>
      <c r="H42" s="494"/>
      <c r="I42" s="494"/>
      <c r="J42" s="493"/>
      <c r="K42" s="490"/>
      <c r="L42" s="491"/>
      <c r="M42" s="493"/>
      <c r="N42" s="497"/>
      <c r="O42" s="489"/>
      <c r="P42" s="505"/>
      <c r="Q42" s="528"/>
      <c r="R42" s="531"/>
      <c r="S42" s="525"/>
      <c r="T42" s="525"/>
      <c r="U42" s="534"/>
    </row>
    <row r="43" spans="1:21" ht="15" hidden="1" customHeight="1" x14ac:dyDescent="0.3">
      <c r="A43" s="161"/>
      <c r="B43" s="507"/>
      <c r="C43" s="493"/>
      <c r="D43" s="493"/>
      <c r="E43" s="508"/>
      <c r="F43" s="494"/>
      <c r="G43" s="494"/>
      <c r="H43" s="494"/>
      <c r="I43" s="494"/>
      <c r="J43" s="493"/>
      <c r="K43" s="490"/>
      <c r="L43" s="491"/>
      <c r="M43" s="493"/>
      <c r="N43" s="497"/>
      <c r="O43" s="489"/>
      <c r="P43" s="505"/>
      <c r="Q43" s="528"/>
      <c r="R43" s="531"/>
      <c r="S43" s="525"/>
      <c r="T43" s="525"/>
      <c r="U43" s="534"/>
    </row>
    <row r="44" spans="1:21" ht="15" hidden="1" customHeight="1" x14ac:dyDescent="0.3">
      <c r="A44" s="161"/>
      <c r="B44" s="507"/>
      <c r="C44" s="493"/>
      <c r="D44" s="493"/>
      <c r="E44" s="508"/>
      <c r="F44" s="494"/>
      <c r="G44" s="494"/>
      <c r="H44" s="494"/>
      <c r="I44" s="494"/>
      <c r="J44" s="493"/>
      <c r="K44" s="490"/>
      <c r="L44" s="491"/>
      <c r="M44" s="493"/>
      <c r="N44" s="497"/>
      <c r="O44" s="489"/>
      <c r="P44" s="506"/>
      <c r="Q44" s="528"/>
      <c r="R44" s="531"/>
      <c r="S44" s="525"/>
      <c r="T44" s="525"/>
      <c r="U44" s="534"/>
    </row>
    <row r="45" spans="1:21" ht="15" hidden="1" customHeight="1" x14ac:dyDescent="0.3">
      <c r="A45" s="161"/>
      <c r="B45" s="507"/>
      <c r="C45" s="493"/>
      <c r="D45" s="493"/>
      <c r="E45" s="508"/>
      <c r="F45" s="494"/>
      <c r="G45" s="494"/>
      <c r="H45" s="494"/>
      <c r="I45" s="494"/>
      <c r="J45" s="493"/>
      <c r="K45" s="490"/>
      <c r="L45" s="491"/>
      <c r="M45" s="493"/>
      <c r="N45" s="497"/>
      <c r="O45" s="489"/>
      <c r="P45" s="504"/>
      <c r="Q45" s="528"/>
      <c r="R45" s="531"/>
      <c r="S45" s="525"/>
      <c r="T45" s="525"/>
      <c r="U45" s="534"/>
    </row>
    <row r="46" spans="1:21" ht="15" hidden="1" customHeight="1" x14ac:dyDescent="0.3">
      <c r="A46" s="161"/>
      <c r="B46" s="507"/>
      <c r="C46" s="493"/>
      <c r="D46" s="493"/>
      <c r="E46" s="508"/>
      <c r="F46" s="494"/>
      <c r="G46" s="494"/>
      <c r="H46" s="494"/>
      <c r="I46" s="494"/>
      <c r="J46" s="493"/>
      <c r="K46" s="490"/>
      <c r="L46" s="491"/>
      <c r="M46" s="493"/>
      <c r="N46" s="497"/>
      <c r="O46" s="489"/>
      <c r="P46" s="505"/>
      <c r="Q46" s="528"/>
      <c r="R46" s="531"/>
      <c r="S46" s="525"/>
      <c r="T46" s="525"/>
      <c r="U46" s="534"/>
    </row>
    <row r="47" spans="1:21" ht="15" hidden="1" customHeight="1" x14ac:dyDescent="0.3">
      <c r="A47" s="161"/>
      <c r="B47" s="507"/>
      <c r="C47" s="493"/>
      <c r="D47" s="493"/>
      <c r="E47" s="508"/>
      <c r="F47" s="494"/>
      <c r="G47" s="494"/>
      <c r="H47" s="494"/>
      <c r="I47" s="494"/>
      <c r="J47" s="493"/>
      <c r="K47" s="490"/>
      <c r="L47" s="491"/>
      <c r="M47" s="493"/>
      <c r="N47" s="497"/>
      <c r="O47" s="489"/>
      <c r="P47" s="505"/>
      <c r="Q47" s="528"/>
      <c r="R47" s="531"/>
      <c r="S47" s="525"/>
      <c r="T47" s="525"/>
      <c r="U47" s="534"/>
    </row>
    <row r="48" spans="1:21" ht="15" hidden="1" customHeight="1" x14ac:dyDescent="0.3">
      <c r="A48" s="161"/>
      <c r="B48" s="507"/>
      <c r="C48" s="493"/>
      <c r="D48" s="493"/>
      <c r="E48" s="508"/>
      <c r="F48" s="494"/>
      <c r="G48" s="494"/>
      <c r="H48" s="494"/>
      <c r="I48" s="494"/>
      <c r="J48" s="493"/>
      <c r="K48" s="490"/>
      <c r="L48" s="491"/>
      <c r="M48" s="493"/>
      <c r="N48" s="497"/>
      <c r="O48" s="489"/>
      <c r="P48" s="505"/>
      <c r="Q48" s="528"/>
      <c r="R48" s="531"/>
      <c r="S48" s="525"/>
      <c r="T48" s="525"/>
      <c r="U48" s="534"/>
    </row>
    <row r="49" spans="1:21" ht="15" hidden="1" customHeight="1" x14ac:dyDescent="0.3">
      <c r="A49" s="161"/>
      <c r="B49" s="507"/>
      <c r="C49" s="493"/>
      <c r="D49" s="493"/>
      <c r="E49" s="508"/>
      <c r="F49" s="494"/>
      <c r="G49" s="494"/>
      <c r="H49" s="494"/>
      <c r="I49" s="494"/>
      <c r="J49" s="493"/>
      <c r="K49" s="490"/>
      <c r="L49" s="491"/>
      <c r="M49" s="493"/>
      <c r="N49" s="497"/>
      <c r="O49" s="489"/>
      <c r="P49" s="506"/>
      <c r="Q49" s="528"/>
      <c r="R49" s="531"/>
      <c r="S49" s="525"/>
      <c r="T49" s="525"/>
      <c r="U49" s="534"/>
    </row>
    <row r="50" spans="1:21" ht="15" hidden="1" customHeight="1" x14ac:dyDescent="0.3">
      <c r="A50" s="161"/>
      <c r="B50" s="507"/>
      <c r="C50" s="493"/>
      <c r="D50" s="493"/>
      <c r="E50" s="508"/>
      <c r="F50" s="494"/>
      <c r="G50" s="494"/>
      <c r="H50" s="494"/>
      <c r="I50" s="494"/>
      <c r="J50" s="493"/>
      <c r="K50" s="490"/>
      <c r="L50" s="491"/>
      <c r="M50" s="493"/>
      <c r="N50" s="497"/>
      <c r="O50" s="489"/>
      <c r="P50" s="504"/>
      <c r="Q50" s="528"/>
      <c r="R50" s="531"/>
      <c r="S50" s="525"/>
      <c r="T50" s="525"/>
      <c r="U50" s="534"/>
    </row>
    <row r="51" spans="1:21" ht="13.5" hidden="1" customHeight="1" x14ac:dyDescent="0.3">
      <c r="A51" s="161"/>
      <c r="B51" s="507"/>
      <c r="C51" s="493"/>
      <c r="D51" s="493"/>
      <c r="E51" s="508"/>
      <c r="F51" s="494"/>
      <c r="G51" s="494"/>
      <c r="H51" s="494"/>
      <c r="I51" s="494"/>
      <c r="J51" s="493"/>
      <c r="K51" s="490"/>
      <c r="L51" s="491"/>
      <c r="M51" s="493"/>
      <c r="N51" s="497"/>
      <c r="O51" s="489"/>
      <c r="P51" s="505"/>
      <c r="Q51" s="528"/>
      <c r="R51" s="531"/>
      <c r="S51" s="525"/>
      <c r="T51" s="525"/>
      <c r="U51" s="534"/>
    </row>
    <row r="52" spans="1:21" ht="15" hidden="1" customHeight="1" x14ac:dyDescent="0.3">
      <c r="A52" s="161"/>
      <c r="B52" s="507"/>
      <c r="C52" s="493"/>
      <c r="D52" s="493"/>
      <c r="E52" s="508"/>
      <c r="F52" s="494"/>
      <c r="G52" s="494"/>
      <c r="H52" s="494"/>
      <c r="I52" s="494"/>
      <c r="J52" s="493"/>
      <c r="K52" s="490"/>
      <c r="L52" s="491"/>
      <c r="M52" s="493"/>
      <c r="N52" s="497"/>
      <c r="O52" s="489"/>
      <c r="P52" s="505"/>
      <c r="Q52" s="528"/>
      <c r="R52" s="531"/>
      <c r="S52" s="525"/>
      <c r="T52" s="525"/>
      <c r="U52" s="534"/>
    </row>
    <row r="53" spans="1:21" ht="15" hidden="1" customHeight="1" x14ac:dyDescent="0.3">
      <c r="A53" s="161"/>
      <c r="B53" s="507"/>
      <c r="C53" s="493"/>
      <c r="D53" s="493"/>
      <c r="E53" s="508"/>
      <c r="F53" s="494"/>
      <c r="G53" s="494"/>
      <c r="H53" s="494"/>
      <c r="I53" s="494"/>
      <c r="J53" s="493"/>
      <c r="K53" s="490"/>
      <c r="L53" s="491"/>
      <c r="M53" s="493"/>
      <c r="N53" s="497"/>
      <c r="O53" s="489"/>
      <c r="P53" s="505"/>
      <c r="Q53" s="528"/>
      <c r="R53" s="531"/>
      <c r="S53" s="525"/>
      <c r="T53" s="525"/>
      <c r="U53" s="534"/>
    </row>
    <row r="54" spans="1:21" ht="15" hidden="1" customHeight="1" x14ac:dyDescent="0.3">
      <c r="A54" s="161"/>
      <c r="B54" s="507"/>
      <c r="C54" s="493"/>
      <c r="D54" s="493"/>
      <c r="E54" s="508"/>
      <c r="F54" s="494"/>
      <c r="G54" s="494"/>
      <c r="H54" s="494"/>
      <c r="I54" s="494"/>
      <c r="J54" s="493"/>
      <c r="K54" s="490"/>
      <c r="L54" s="491"/>
      <c r="M54" s="493"/>
      <c r="N54" s="497"/>
      <c r="O54" s="489"/>
      <c r="P54" s="506"/>
      <c r="Q54" s="528"/>
      <c r="R54" s="531"/>
      <c r="S54" s="525"/>
      <c r="T54" s="525"/>
      <c r="U54" s="534"/>
    </row>
    <row r="55" spans="1:21" ht="15" hidden="1" customHeight="1" x14ac:dyDescent="0.3">
      <c r="A55" s="161"/>
      <c r="B55" s="507"/>
      <c r="C55" s="493"/>
      <c r="D55" s="493"/>
      <c r="E55" s="508"/>
      <c r="F55" s="494"/>
      <c r="G55" s="494"/>
      <c r="H55" s="494"/>
      <c r="I55" s="494"/>
      <c r="J55" s="493"/>
      <c r="K55" s="490"/>
      <c r="L55" s="491"/>
      <c r="M55" s="493"/>
      <c r="N55" s="497"/>
      <c r="O55" s="489"/>
      <c r="P55" s="504"/>
      <c r="Q55" s="528"/>
      <c r="R55" s="531"/>
      <c r="S55" s="525"/>
      <c r="T55" s="525"/>
      <c r="U55" s="534"/>
    </row>
    <row r="56" spans="1:21" ht="15" hidden="1" customHeight="1" x14ac:dyDescent="0.3">
      <c r="A56" s="161"/>
      <c r="B56" s="507"/>
      <c r="C56" s="493"/>
      <c r="D56" s="493"/>
      <c r="E56" s="508"/>
      <c r="F56" s="494"/>
      <c r="G56" s="494"/>
      <c r="H56" s="494"/>
      <c r="I56" s="494"/>
      <c r="J56" s="493"/>
      <c r="K56" s="490"/>
      <c r="L56" s="491"/>
      <c r="M56" s="493"/>
      <c r="N56" s="497"/>
      <c r="O56" s="489"/>
      <c r="P56" s="505"/>
      <c r="Q56" s="528"/>
      <c r="R56" s="531"/>
      <c r="S56" s="525"/>
      <c r="T56" s="525"/>
      <c r="U56" s="534"/>
    </row>
    <row r="57" spans="1:21" ht="15" hidden="1" customHeight="1" x14ac:dyDescent="0.3">
      <c r="A57" s="161"/>
      <c r="B57" s="507"/>
      <c r="C57" s="493"/>
      <c r="D57" s="493"/>
      <c r="E57" s="508"/>
      <c r="F57" s="494"/>
      <c r="G57" s="494"/>
      <c r="H57" s="494"/>
      <c r="I57" s="494"/>
      <c r="J57" s="493"/>
      <c r="K57" s="490"/>
      <c r="L57" s="491"/>
      <c r="M57" s="493"/>
      <c r="N57" s="497"/>
      <c r="O57" s="489"/>
      <c r="P57" s="505"/>
      <c r="Q57" s="528"/>
      <c r="R57" s="531"/>
      <c r="S57" s="525"/>
      <c r="T57" s="525"/>
      <c r="U57" s="534"/>
    </row>
    <row r="58" spans="1:21" ht="15" hidden="1" customHeight="1" x14ac:dyDescent="0.3">
      <c r="A58" s="161"/>
      <c r="B58" s="507"/>
      <c r="C58" s="493"/>
      <c r="D58" s="493"/>
      <c r="E58" s="508"/>
      <c r="F58" s="494"/>
      <c r="G58" s="494"/>
      <c r="H58" s="494"/>
      <c r="I58" s="494"/>
      <c r="J58" s="493"/>
      <c r="K58" s="490"/>
      <c r="L58" s="491"/>
      <c r="M58" s="493"/>
      <c r="N58" s="497"/>
      <c r="O58" s="489"/>
      <c r="P58" s="505"/>
      <c r="Q58" s="528"/>
      <c r="R58" s="531"/>
      <c r="S58" s="525"/>
      <c r="T58" s="525"/>
      <c r="U58" s="534"/>
    </row>
    <row r="59" spans="1:21" ht="15" hidden="1" customHeight="1" x14ac:dyDescent="0.3">
      <c r="A59" s="161"/>
      <c r="B59" s="507"/>
      <c r="C59" s="493"/>
      <c r="D59" s="493"/>
      <c r="E59" s="508"/>
      <c r="F59" s="494"/>
      <c r="G59" s="494"/>
      <c r="H59" s="494"/>
      <c r="I59" s="494"/>
      <c r="J59" s="493"/>
      <c r="K59" s="490"/>
      <c r="L59" s="491"/>
      <c r="M59" s="493"/>
      <c r="N59" s="497"/>
      <c r="O59" s="489"/>
      <c r="P59" s="506"/>
      <c r="Q59" s="528"/>
      <c r="R59" s="531"/>
      <c r="S59" s="525"/>
      <c r="T59" s="525"/>
      <c r="U59" s="534"/>
    </row>
    <row r="60" spans="1:21" ht="15" hidden="1" customHeight="1" x14ac:dyDescent="0.3">
      <c r="A60" s="161"/>
      <c r="B60" s="507"/>
      <c r="C60" s="493"/>
      <c r="D60" s="493"/>
      <c r="E60" s="508"/>
      <c r="F60" s="494"/>
      <c r="G60" s="494"/>
      <c r="H60" s="494"/>
      <c r="I60" s="494"/>
      <c r="J60" s="493"/>
      <c r="K60" s="490"/>
      <c r="L60" s="491"/>
      <c r="M60" s="493"/>
      <c r="N60" s="497"/>
      <c r="O60" s="489"/>
      <c r="P60" s="504"/>
      <c r="Q60" s="528"/>
      <c r="R60" s="531"/>
      <c r="S60" s="525"/>
      <c r="T60" s="525"/>
      <c r="U60" s="534"/>
    </row>
    <row r="61" spans="1:21" ht="15" hidden="1" customHeight="1" x14ac:dyDescent="0.3">
      <c r="A61" s="161"/>
      <c r="B61" s="507"/>
      <c r="C61" s="493"/>
      <c r="D61" s="493"/>
      <c r="E61" s="508"/>
      <c r="F61" s="494"/>
      <c r="G61" s="494"/>
      <c r="H61" s="494"/>
      <c r="I61" s="494"/>
      <c r="J61" s="493"/>
      <c r="K61" s="490"/>
      <c r="L61" s="491"/>
      <c r="M61" s="493"/>
      <c r="N61" s="497"/>
      <c r="O61" s="489"/>
      <c r="P61" s="505"/>
      <c r="Q61" s="528"/>
      <c r="R61" s="531"/>
      <c r="S61" s="525"/>
      <c r="T61" s="525"/>
      <c r="U61" s="534"/>
    </row>
    <row r="62" spans="1:21" ht="15" hidden="1" customHeight="1" x14ac:dyDescent="0.3">
      <c r="A62" s="161"/>
      <c r="B62" s="507"/>
      <c r="C62" s="493"/>
      <c r="D62" s="493"/>
      <c r="E62" s="508"/>
      <c r="F62" s="494"/>
      <c r="G62" s="494"/>
      <c r="H62" s="494"/>
      <c r="I62" s="494"/>
      <c r="J62" s="493"/>
      <c r="K62" s="490"/>
      <c r="L62" s="491"/>
      <c r="M62" s="493"/>
      <c r="N62" s="497"/>
      <c r="O62" s="489"/>
      <c r="P62" s="505"/>
      <c r="Q62" s="528"/>
      <c r="R62" s="531"/>
      <c r="S62" s="525"/>
      <c r="T62" s="525"/>
      <c r="U62" s="534"/>
    </row>
    <row r="63" spans="1:21" ht="23.25" customHeight="1" x14ac:dyDescent="0.3">
      <c r="A63" s="161"/>
      <c r="B63" s="507"/>
      <c r="C63" s="493"/>
      <c r="D63" s="493"/>
      <c r="E63" s="508"/>
      <c r="F63" s="494"/>
      <c r="G63" s="494"/>
      <c r="H63" s="494"/>
      <c r="I63" s="494"/>
      <c r="J63" s="493"/>
      <c r="K63" s="490"/>
      <c r="L63" s="491"/>
      <c r="M63" s="493"/>
      <c r="N63" s="497"/>
      <c r="O63" s="489"/>
      <c r="P63" s="505"/>
      <c r="Q63" s="528"/>
      <c r="R63" s="531"/>
      <c r="S63" s="525"/>
      <c r="T63" s="525"/>
      <c r="U63" s="534"/>
    </row>
    <row r="64" spans="1:21" ht="9" customHeight="1" x14ac:dyDescent="0.3">
      <c r="A64" s="161"/>
      <c r="B64" s="507"/>
      <c r="C64" s="493"/>
      <c r="D64" s="493"/>
      <c r="E64" s="508"/>
      <c r="F64" s="494"/>
      <c r="G64" s="494"/>
      <c r="H64" s="494"/>
      <c r="I64" s="494"/>
      <c r="J64" s="493"/>
      <c r="K64" s="490"/>
      <c r="L64" s="491"/>
      <c r="M64" s="495"/>
      <c r="N64" s="497"/>
      <c r="O64" s="489"/>
      <c r="P64" s="506"/>
      <c r="Q64" s="529"/>
      <c r="R64" s="532"/>
      <c r="S64" s="526"/>
      <c r="T64" s="526"/>
      <c r="U64" s="535"/>
    </row>
    <row r="65" spans="1:21" ht="16.5" x14ac:dyDescent="0.3">
      <c r="A65" s="161"/>
      <c r="B65" s="503" t="s">
        <v>53</v>
      </c>
      <c r="C65" s="503"/>
      <c r="D65" s="503"/>
      <c r="E65" s="503"/>
      <c r="F65" s="503"/>
      <c r="G65" s="503"/>
      <c r="H65" s="503"/>
      <c r="I65" s="503"/>
      <c r="J65" s="503"/>
      <c r="K65" s="503"/>
      <c r="L65" s="503"/>
      <c r="M65" s="503"/>
      <c r="N65" s="503"/>
      <c r="O65" s="503"/>
      <c r="P65" s="503"/>
      <c r="Q65" s="174">
        <f>R65+S65+T65</f>
        <v>1191844346</v>
      </c>
      <c r="R65" s="175">
        <f>SUM(R34+R30+R25+R18+R17+R16+R16+R10+R9)</f>
        <v>876844346</v>
      </c>
      <c r="S65" s="175">
        <f>SUBTOTAL(9,S55:S64)</f>
        <v>0</v>
      </c>
      <c r="T65" s="175">
        <f>T30+T25+T18+T17+T16+T10+T9</f>
        <v>315000000</v>
      </c>
      <c r="U65" s="175">
        <f>U30+U25+U18+U17+U16</f>
        <v>986658537</v>
      </c>
    </row>
    <row r="67" spans="1:21" x14ac:dyDescent="0.25">
      <c r="B67" s="243"/>
      <c r="C67" t="s">
        <v>388</v>
      </c>
    </row>
  </sheetData>
  <mergeCells count="95">
    <mergeCell ref="U30:U64"/>
    <mergeCell ref="N1:U1"/>
    <mergeCell ref="B4:U4"/>
    <mergeCell ref="B5:U5"/>
    <mergeCell ref="B6:U6"/>
    <mergeCell ref="B7:J7"/>
    <mergeCell ref="L7:P7"/>
    <mergeCell ref="Q7:T7"/>
    <mergeCell ref="U7:U8"/>
    <mergeCell ref="R2:U2"/>
    <mergeCell ref="B20:U20"/>
    <mergeCell ref="B21:U21"/>
    <mergeCell ref="G25:G26"/>
    <mergeCell ref="H27:H28"/>
    <mergeCell ref="I27:I28"/>
    <mergeCell ref="I25:I26"/>
    <mergeCell ref="B22:U22"/>
    <mergeCell ref="B23:J23"/>
    <mergeCell ref="L23:P23"/>
    <mergeCell ref="P30:P39"/>
    <mergeCell ref="T30:T64"/>
    <mergeCell ref="S30:S64"/>
    <mergeCell ref="Q30:Q64"/>
    <mergeCell ref="R30:R64"/>
    <mergeCell ref="P40:P44"/>
    <mergeCell ref="P45:P49"/>
    <mergeCell ref="P50:P54"/>
    <mergeCell ref="P55:P59"/>
    <mergeCell ref="P60:P64"/>
    <mergeCell ref="C27:C28"/>
    <mergeCell ref="D27:D28"/>
    <mergeCell ref="M25:M29"/>
    <mergeCell ref="B9:B10"/>
    <mergeCell ref="K9:K10"/>
    <mergeCell ref="B11:U11"/>
    <mergeCell ref="B12:U12"/>
    <mergeCell ref="B13:U13"/>
    <mergeCell ref="B14:J14"/>
    <mergeCell ref="L14:P14"/>
    <mergeCell ref="Q14:T14"/>
    <mergeCell ref="U18:U19"/>
    <mergeCell ref="P18:P19"/>
    <mergeCell ref="Q18:Q19"/>
    <mergeCell ref="R18:R19"/>
    <mergeCell ref="S18:S19"/>
    <mergeCell ref="B16:B17"/>
    <mergeCell ref="B18:B19"/>
    <mergeCell ref="L18:L19"/>
    <mergeCell ref="M18:M19"/>
    <mergeCell ref="N18:N19"/>
    <mergeCell ref="O18:O19"/>
    <mergeCell ref="T18:T19"/>
    <mergeCell ref="U14:U15"/>
    <mergeCell ref="Q23:T23"/>
    <mergeCell ref="U23:U24"/>
    <mergeCell ref="U25:U29"/>
    <mergeCell ref="R25:R29"/>
    <mergeCell ref="S25:S29"/>
    <mergeCell ref="Q25:Q29"/>
    <mergeCell ref="T25:T29"/>
    <mergeCell ref="N27:N28"/>
    <mergeCell ref="J25:J26"/>
    <mergeCell ref="K25:K26"/>
    <mergeCell ref="K27:K28"/>
    <mergeCell ref="B65:P65"/>
    <mergeCell ref="P25:P29"/>
    <mergeCell ref="D30:D64"/>
    <mergeCell ref="B25:B64"/>
    <mergeCell ref="E30:E64"/>
    <mergeCell ref="F30:F64"/>
    <mergeCell ref="E27:E28"/>
    <mergeCell ref="F27:F28"/>
    <mergeCell ref="G27:G28"/>
    <mergeCell ref="J27:J28"/>
    <mergeCell ref="L25:L29"/>
    <mergeCell ref="O27:O28"/>
    <mergeCell ref="O25:O26"/>
    <mergeCell ref="C25:C26"/>
    <mergeCell ref="D25:D26"/>
    <mergeCell ref="E25:E26"/>
    <mergeCell ref="F25:F26"/>
    <mergeCell ref="N25:N26"/>
    <mergeCell ref="H25:H26"/>
    <mergeCell ref="O30:O33"/>
    <mergeCell ref="O34:O64"/>
    <mergeCell ref="K30:K64"/>
    <mergeCell ref="L30:L64"/>
    <mergeCell ref="C30:C64"/>
    <mergeCell ref="I30:I64"/>
    <mergeCell ref="M30:M64"/>
    <mergeCell ref="N30:N33"/>
    <mergeCell ref="N34:N64"/>
    <mergeCell ref="G30:G64"/>
    <mergeCell ref="H30:H64"/>
    <mergeCell ref="J30:J64"/>
  </mergeCells>
  <conditionalFormatting sqref="E9:H9">
    <cfRule type="expression" dxfId="339" priority="21" stopIfTrue="1">
      <formula>+IF((#REF!+#REF!+#REF!+#REF!+#REF!)&lt;&gt;$K9,1,0)</formula>
    </cfRule>
  </conditionalFormatting>
  <conditionalFormatting sqref="E9:H9">
    <cfRule type="expression" dxfId="338" priority="20" stopIfTrue="1">
      <formula>+IF((#REF!+#REF!+#REF!+#REF!+#REF!)&lt;&gt;$K9,1,0)</formula>
    </cfRule>
  </conditionalFormatting>
  <conditionalFormatting sqref="O9">
    <cfRule type="expression" dxfId="337" priority="19" stopIfTrue="1">
      <formula>+IF((#REF!+#REF!+#REF!+#REF!+#REF!)&lt;&gt;$K9,1,0)</formula>
    </cfRule>
  </conditionalFormatting>
  <conditionalFormatting sqref="O9">
    <cfRule type="expression" dxfId="336" priority="18" stopIfTrue="1">
      <formula>+IF((#REF!+#REF!+#REF!+#REF!+#REF!)&lt;&gt;$K9,1,0)</formula>
    </cfRule>
  </conditionalFormatting>
  <conditionalFormatting sqref="O9">
    <cfRule type="expression" dxfId="335" priority="17" stopIfTrue="1">
      <formula>+IF((#REF!+#REF!+#REF!+#REF!+#REF!)&lt;&gt;$K9,1,0)</formula>
    </cfRule>
  </conditionalFormatting>
  <conditionalFormatting sqref="E17:H17">
    <cfRule type="expression" dxfId="334" priority="16" stopIfTrue="1">
      <formula>+IF((#REF!+#REF!+#REF!+#REF!+#REF!)&lt;&gt;$K17,1,0)</formula>
    </cfRule>
  </conditionalFormatting>
  <conditionalFormatting sqref="E18:H18">
    <cfRule type="expression" dxfId="333" priority="15" stopIfTrue="1">
      <formula>+IF((#REF!+#REF!+#REF!+#REF!+#REF!)&lt;&gt;$K18,1,0)</formula>
    </cfRule>
  </conditionalFormatting>
  <conditionalFormatting sqref="O18">
    <cfRule type="expression" dxfId="332" priority="14" stopIfTrue="1">
      <formula>+IF((#REF!+#REF!+#REF!+#REF!+#REF!)&lt;&gt;$K19,1,0)</formula>
    </cfRule>
  </conditionalFormatting>
  <conditionalFormatting sqref="O16">
    <cfRule type="expression" dxfId="331" priority="13" stopIfTrue="1">
      <formula>+IF((#REF!+#REF!+#REF!+#REF!+#REF!)&lt;&gt;$K16,1,0)</formula>
    </cfRule>
  </conditionalFormatting>
  <conditionalFormatting sqref="E25:H26">
    <cfRule type="expression" dxfId="330" priority="6" stopIfTrue="1">
      <formula>+IF((#REF!+#REF!+#REF!+#REF!+#REF!)&lt;&gt;$K25,1,0)</formula>
    </cfRule>
  </conditionalFormatting>
  <conditionalFormatting sqref="E25:H26">
    <cfRule type="expression" dxfId="329" priority="5" stopIfTrue="1">
      <formula>+IF((#REF!+#REF!+#REF!+#REF!+#REF!)&lt;&gt;$K25,1,0)</formula>
    </cfRule>
  </conditionalFormatting>
  <conditionalFormatting sqref="F27:F28">
    <cfRule type="expression" dxfId="328" priority="2" stopIfTrue="1">
      <formula>+IF((#REF!+#REF!+#REF!+#REF!+#REF!)&lt;&gt;$K27,1,0)</formula>
    </cfRule>
  </conditionalFormatting>
  <conditionalFormatting sqref="F27:F28">
    <cfRule type="expression" dxfId="327" priority="1" stopIfTrue="1">
      <formula>+IF((#REF!+#REF!+#REF!+#REF!+#REF!)&lt;&gt;$K27,1,0)</formula>
    </cfRule>
  </conditionalFormatting>
  <conditionalFormatting sqref="E27:E28">
    <cfRule type="expression" dxfId="326" priority="4" stopIfTrue="1">
      <formula>+IF((#REF!+#REF!+#REF!+#REF!+#REF!)&lt;&gt;$K27,1,0)</formula>
    </cfRule>
  </conditionalFormatting>
  <conditionalFormatting sqref="E27:E28">
    <cfRule type="expression" dxfId="325" priority="3" stopIfTrue="1">
      <formula>+IF((#REF!+#REF!+#REF!+#REF!+#REF!)&lt;&gt;$K27,1,0)</formula>
    </cfRule>
  </conditionalFormatting>
  <dataValidations count="4">
    <dataValidation type="list" allowBlank="1" showInputMessage="1" showErrorMessage="1" sqref="J18:J19 J16 P16 P18">
      <formula1>#REF!</formula1>
    </dataValidation>
    <dataValidation type="list" allowBlank="1" showInputMessage="1" showErrorMessage="1" sqref="P9:P10 J17 P17 K16:K19 J9:J10 K9">
      <formula1>#REF!</formula1>
    </dataValidation>
    <dataValidation type="list" allowBlank="1" showInputMessage="1" showErrorMessage="1" sqref="J25:J26">
      <formula1>$T$31:$T$39</formula1>
    </dataValidation>
    <dataValidation type="list" allowBlank="1" showInputMessage="1" showErrorMessage="1" sqref="K25:K26">
      <formula1>$H$25:$H$29</formula1>
    </dataValidation>
  </dataValidations>
  <pageMargins left="0.7" right="0.7" top="0.75" bottom="0.75" header="0.3" footer="0.3"/>
  <pageSetup orientation="portrait" r:id="rId1"/>
  <ignoredErrors>
    <ignoredError sqref="S65" formulaRange="1"/>
    <ignoredError sqref="Q16:Q18 Q9:Q10 Q25 R9 Q30:R30 U17" unlockedFormula="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pageSetUpPr fitToPage="1"/>
  </sheetPr>
  <dimension ref="A1:Z71"/>
  <sheetViews>
    <sheetView topLeftCell="Q7" zoomScale="80" zoomScaleNormal="80" workbookViewId="0">
      <selection activeCell="Z12" sqref="Z12"/>
    </sheetView>
  </sheetViews>
  <sheetFormatPr baseColWidth="10" defaultRowHeight="15" x14ac:dyDescent="0.25"/>
  <cols>
    <col min="2" max="2" width="21.42578125" customWidth="1"/>
    <col min="3" max="3" width="26.140625" customWidth="1"/>
    <col min="4" max="4" width="19" customWidth="1"/>
    <col min="5" max="5" width="7" customWidth="1"/>
    <col min="6" max="7" width="6.5703125" customWidth="1"/>
    <col min="8" max="8" width="5.85546875" customWidth="1"/>
    <col min="11" max="11" width="28.140625" customWidth="1"/>
    <col min="12" max="12" width="6.140625" customWidth="1"/>
    <col min="13" max="13" width="27.28515625" customWidth="1"/>
    <col min="14" max="14" width="19.85546875" customWidth="1"/>
    <col min="15" max="15" width="9.7109375" customWidth="1"/>
    <col min="16" max="16" width="26.5703125" customWidth="1"/>
    <col min="17" max="17" width="18.85546875" customWidth="1"/>
    <col min="18" max="18" width="18.28515625" customWidth="1"/>
    <col min="19" max="19" width="16.28515625" customWidth="1"/>
    <col min="20" max="20" width="16" customWidth="1"/>
    <col min="21" max="21" width="19.42578125" customWidth="1"/>
    <col min="22" max="22" width="7.140625" hidden="1" customWidth="1"/>
    <col min="23" max="24" width="60.7109375" customWidth="1"/>
    <col min="25" max="25" width="90.7109375" customWidth="1"/>
    <col min="26" max="26" width="32.5703125" customWidth="1"/>
  </cols>
  <sheetData>
    <row r="1" spans="1:26" ht="15.75" x14ac:dyDescent="0.25">
      <c r="B1" s="563" t="s">
        <v>390</v>
      </c>
      <c r="C1" s="563"/>
      <c r="D1" s="563"/>
      <c r="E1" s="563"/>
      <c r="F1" s="563"/>
      <c r="G1" s="563"/>
      <c r="H1" s="563"/>
      <c r="I1" s="563"/>
      <c r="J1" s="563"/>
      <c r="K1" s="563"/>
      <c r="L1" s="563"/>
      <c r="M1" s="563"/>
      <c r="N1" s="563"/>
      <c r="O1" s="563"/>
      <c r="P1" s="563"/>
      <c r="Q1" s="563"/>
      <c r="R1" s="563"/>
      <c r="S1" s="563"/>
      <c r="T1" s="563"/>
      <c r="U1" s="563"/>
    </row>
    <row r="2" spans="1:26" ht="15.75" x14ac:dyDescent="0.25">
      <c r="B2" s="563" t="s">
        <v>389</v>
      </c>
      <c r="C2" s="563"/>
      <c r="D2" s="563"/>
      <c r="E2" s="563"/>
      <c r="F2" s="563"/>
      <c r="G2" s="563"/>
      <c r="H2" s="563"/>
      <c r="I2" s="563"/>
      <c r="J2" s="563"/>
      <c r="K2" s="563"/>
      <c r="L2" s="563"/>
      <c r="M2" s="563"/>
      <c r="N2" s="563"/>
      <c r="O2" s="563"/>
      <c r="P2" s="563"/>
      <c r="Q2" s="563"/>
      <c r="R2" s="563"/>
      <c r="S2" s="563"/>
      <c r="T2" s="563"/>
      <c r="U2" s="563"/>
    </row>
    <row r="3" spans="1:26" ht="15.75" x14ac:dyDescent="0.25">
      <c r="N3" s="536" t="s">
        <v>0</v>
      </c>
      <c r="O3" s="536"/>
      <c r="P3" s="536"/>
      <c r="Q3" s="536"/>
      <c r="R3" s="536"/>
      <c r="S3" s="536"/>
      <c r="T3" s="536"/>
      <c r="U3" s="536"/>
    </row>
    <row r="4" spans="1:26" ht="18.75" x14ac:dyDescent="0.3">
      <c r="R4" s="537" t="s">
        <v>326</v>
      </c>
      <c r="S4" s="537"/>
      <c r="T4" s="537"/>
      <c r="U4" s="537"/>
    </row>
    <row r="6" spans="1:26" ht="16.5" x14ac:dyDescent="0.3">
      <c r="A6" s="161"/>
      <c r="B6" s="523" t="s">
        <v>171</v>
      </c>
      <c r="C6" s="523"/>
      <c r="D6" s="523"/>
      <c r="E6" s="523"/>
      <c r="F6" s="523"/>
      <c r="G6" s="523"/>
      <c r="H6" s="523"/>
      <c r="I6" s="523"/>
      <c r="J6" s="523"/>
      <c r="K6" s="523"/>
      <c r="L6" s="523"/>
      <c r="M6" s="523"/>
      <c r="N6" s="523"/>
      <c r="O6" s="523"/>
      <c r="P6" s="523"/>
      <c r="Q6" s="523"/>
      <c r="R6" s="523"/>
      <c r="S6" s="523"/>
      <c r="T6" s="523"/>
      <c r="U6" s="523"/>
    </row>
    <row r="7" spans="1:26" ht="16.5" x14ac:dyDescent="0.3">
      <c r="A7" s="161"/>
      <c r="B7" s="523" t="s">
        <v>172</v>
      </c>
      <c r="C7" s="523"/>
      <c r="D7" s="523"/>
      <c r="E7" s="523"/>
      <c r="F7" s="523"/>
      <c r="G7" s="523"/>
      <c r="H7" s="523"/>
      <c r="I7" s="523"/>
      <c r="J7" s="523"/>
      <c r="K7" s="523"/>
      <c r="L7" s="523"/>
      <c r="M7" s="523"/>
      <c r="N7" s="523"/>
      <c r="O7" s="523"/>
      <c r="P7" s="523"/>
      <c r="Q7" s="523"/>
      <c r="R7" s="523"/>
      <c r="S7" s="523"/>
      <c r="T7" s="523"/>
      <c r="U7" s="523"/>
    </row>
    <row r="8" spans="1:26" ht="16.5" x14ac:dyDescent="0.3">
      <c r="A8" s="161"/>
      <c r="B8" s="523" t="s">
        <v>173</v>
      </c>
      <c r="C8" s="523"/>
      <c r="D8" s="523"/>
      <c r="E8" s="523"/>
      <c r="F8" s="523"/>
      <c r="G8" s="523"/>
      <c r="H8" s="523"/>
      <c r="I8" s="523"/>
      <c r="J8" s="523"/>
      <c r="K8" s="523"/>
      <c r="L8" s="523"/>
      <c r="M8" s="523"/>
      <c r="N8" s="523"/>
      <c r="O8" s="523"/>
      <c r="P8" s="523"/>
      <c r="Q8" s="523"/>
      <c r="R8" s="523"/>
      <c r="S8" s="523"/>
      <c r="T8" s="523"/>
      <c r="U8" s="523"/>
      <c r="W8" s="547" t="s">
        <v>411</v>
      </c>
      <c r="X8" s="547"/>
      <c r="Y8" s="547"/>
    </row>
    <row r="9" spans="1:26" ht="22.5" customHeight="1" x14ac:dyDescent="0.3">
      <c r="A9" s="161"/>
      <c r="B9" s="517" t="s">
        <v>3</v>
      </c>
      <c r="C9" s="517"/>
      <c r="D9" s="517"/>
      <c r="E9" s="517"/>
      <c r="F9" s="517"/>
      <c r="G9" s="517"/>
      <c r="H9" s="517"/>
      <c r="I9" s="517"/>
      <c r="J9" s="517"/>
      <c r="K9" s="233"/>
      <c r="L9" s="564" t="s">
        <v>72</v>
      </c>
      <c r="M9" s="564"/>
      <c r="N9" s="564"/>
      <c r="O9" s="564"/>
      <c r="P9" s="564"/>
      <c r="Q9" s="511" t="s">
        <v>4</v>
      </c>
      <c r="R9" s="511"/>
      <c r="S9" s="511"/>
      <c r="T9" s="511"/>
      <c r="U9" s="522" t="s">
        <v>40</v>
      </c>
      <c r="V9" s="267"/>
      <c r="W9" s="556" t="s">
        <v>410</v>
      </c>
      <c r="X9" s="557"/>
      <c r="Y9" s="558" t="s">
        <v>442</v>
      </c>
    </row>
    <row r="10" spans="1:26" ht="57.75" customHeight="1" x14ac:dyDescent="0.3">
      <c r="A10" s="161"/>
      <c r="B10" s="231" t="s">
        <v>51</v>
      </c>
      <c r="C10" s="231" t="s">
        <v>12</v>
      </c>
      <c r="D10" s="231" t="s">
        <v>52</v>
      </c>
      <c r="E10" s="231" t="s">
        <v>24</v>
      </c>
      <c r="F10" s="231" t="s">
        <v>25</v>
      </c>
      <c r="G10" s="231" t="s">
        <v>26</v>
      </c>
      <c r="H10" s="231" t="s">
        <v>27</v>
      </c>
      <c r="I10" s="231" t="s">
        <v>28</v>
      </c>
      <c r="J10" s="231" t="s">
        <v>29</v>
      </c>
      <c r="K10" s="231" t="s">
        <v>47</v>
      </c>
      <c r="L10" s="266" t="s">
        <v>14</v>
      </c>
      <c r="M10" s="266" t="s">
        <v>79</v>
      </c>
      <c r="N10" s="266" t="s">
        <v>15</v>
      </c>
      <c r="O10" s="266" t="s">
        <v>16</v>
      </c>
      <c r="P10" s="342" t="s">
        <v>48</v>
      </c>
      <c r="Q10" s="232" t="s">
        <v>17</v>
      </c>
      <c r="R10" s="232" t="s">
        <v>18</v>
      </c>
      <c r="S10" s="232" t="s">
        <v>19</v>
      </c>
      <c r="T10" s="232" t="s">
        <v>361</v>
      </c>
      <c r="U10" s="522"/>
      <c r="V10" s="386" t="s">
        <v>423</v>
      </c>
      <c r="W10" s="268" t="s">
        <v>408</v>
      </c>
      <c r="X10" s="268" t="s">
        <v>409</v>
      </c>
      <c r="Y10" s="559"/>
    </row>
    <row r="11" spans="1:26" ht="117" customHeight="1" x14ac:dyDescent="0.3">
      <c r="A11" s="161"/>
      <c r="B11" s="520" t="s">
        <v>174</v>
      </c>
      <c r="C11" s="213" t="s">
        <v>175</v>
      </c>
      <c r="D11" s="236" t="s">
        <v>176</v>
      </c>
      <c r="E11" s="229">
        <v>24</v>
      </c>
      <c r="F11" s="229">
        <v>24</v>
      </c>
      <c r="G11" s="229">
        <v>24</v>
      </c>
      <c r="H11" s="229">
        <v>24</v>
      </c>
      <c r="I11" s="230">
        <f>SUM(E11:H11)</f>
        <v>96</v>
      </c>
      <c r="J11" s="236" t="s">
        <v>177</v>
      </c>
      <c r="K11" s="502" t="s">
        <v>30</v>
      </c>
      <c r="L11" s="230">
        <v>1</v>
      </c>
      <c r="M11" s="234" t="s">
        <v>178</v>
      </c>
      <c r="N11" s="226" t="s">
        <v>484</v>
      </c>
      <c r="O11" s="227">
        <v>24</v>
      </c>
      <c r="P11" s="226" t="s">
        <v>180</v>
      </c>
      <c r="Q11" s="65">
        <f>R11+S11+T11</f>
        <v>78336000</v>
      </c>
      <c r="R11" s="139">
        <f>78336000-26112000</f>
        <v>52224000</v>
      </c>
      <c r="S11" s="67">
        <v>0</v>
      </c>
      <c r="T11" s="67">
        <v>26112000</v>
      </c>
      <c r="U11" s="140">
        <v>0</v>
      </c>
      <c r="V11" s="382" t="s">
        <v>548</v>
      </c>
      <c r="W11" s="471" t="s">
        <v>598</v>
      </c>
      <c r="X11" s="471" t="s">
        <v>612</v>
      </c>
      <c r="Y11" s="471" t="s">
        <v>613</v>
      </c>
      <c r="Z11" s="470" t="s">
        <v>597</v>
      </c>
    </row>
    <row r="12" spans="1:26" ht="150.75" customHeight="1" x14ac:dyDescent="0.3">
      <c r="A12" s="161"/>
      <c r="B12" s="520"/>
      <c r="C12" s="235" t="s">
        <v>181</v>
      </c>
      <c r="D12" s="236" t="s">
        <v>182</v>
      </c>
      <c r="E12" s="229">
        <v>0</v>
      </c>
      <c r="F12" s="141">
        <v>0.25</v>
      </c>
      <c r="G12" s="141">
        <v>0.75</v>
      </c>
      <c r="H12" s="141">
        <v>0</v>
      </c>
      <c r="I12" s="131">
        <v>1</v>
      </c>
      <c r="J12" s="236" t="s">
        <v>177</v>
      </c>
      <c r="K12" s="502"/>
      <c r="L12" s="230">
        <v>2</v>
      </c>
      <c r="M12" s="74" t="s">
        <v>183</v>
      </c>
      <c r="N12" s="76" t="s">
        <v>184</v>
      </c>
      <c r="O12" s="225">
        <v>0.25</v>
      </c>
      <c r="P12" s="226" t="s">
        <v>180</v>
      </c>
      <c r="Q12" s="65">
        <f>R12+S12+T12</f>
        <v>0</v>
      </c>
      <c r="R12" s="139">
        <v>0</v>
      </c>
      <c r="S12" s="67">
        <v>0</v>
      </c>
      <c r="T12" s="67">
        <v>0</v>
      </c>
      <c r="U12" s="140">
        <v>0</v>
      </c>
      <c r="V12" s="382" t="s">
        <v>549</v>
      </c>
      <c r="W12" s="471" t="s">
        <v>600</v>
      </c>
      <c r="X12" s="471" t="s">
        <v>599</v>
      </c>
      <c r="Y12" s="471" t="s">
        <v>610</v>
      </c>
      <c r="Z12" s="470" t="s">
        <v>601</v>
      </c>
    </row>
    <row r="13" spans="1:26" ht="16.5" x14ac:dyDescent="0.3">
      <c r="A13" s="161"/>
      <c r="B13" s="523" t="s">
        <v>23</v>
      </c>
      <c r="C13" s="523"/>
      <c r="D13" s="523"/>
      <c r="E13" s="523"/>
      <c r="F13" s="523"/>
      <c r="G13" s="523"/>
      <c r="H13" s="523"/>
      <c r="I13" s="523"/>
      <c r="J13" s="523"/>
      <c r="K13" s="523"/>
      <c r="L13" s="523"/>
      <c r="M13" s="523"/>
      <c r="N13" s="523"/>
      <c r="O13" s="523"/>
      <c r="P13" s="523"/>
      <c r="Q13" s="523"/>
      <c r="R13" s="523"/>
      <c r="S13" s="523"/>
      <c r="T13" s="523"/>
      <c r="U13" s="523"/>
      <c r="V13" s="551"/>
      <c r="W13" s="551"/>
      <c r="X13" s="551"/>
      <c r="Y13" s="551"/>
    </row>
    <row r="14" spans="1:26" ht="16.5" x14ac:dyDescent="0.3">
      <c r="A14" s="161"/>
      <c r="B14" s="523" t="s">
        <v>46</v>
      </c>
      <c r="C14" s="523"/>
      <c r="D14" s="523"/>
      <c r="E14" s="523"/>
      <c r="F14" s="523"/>
      <c r="G14" s="523"/>
      <c r="H14" s="523"/>
      <c r="I14" s="523"/>
      <c r="J14" s="523"/>
      <c r="K14" s="523"/>
      <c r="L14" s="523"/>
      <c r="M14" s="523"/>
      <c r="N14" s="523"/>
      <c r="O14" s="523"/>
      <c r="P14" s="523"/>
      <c r="Q14" s="523"/>
      <c r="R14" s="523"/>
      <c r="S14" s="523"/>
      <c r="T14" s="523"/>
      <c r="U14" s="523"/>
      <c r="V14" s="551"/>
      <c r="W14" s="551"/>
      <c r="X14" s="551"/>
      <c r="Y14" s="551"/>
    </row>
    <row r="15" spans="1:26" ht="16.5" x14ac:dyDescent="0.3">
      <c r="A15" s="161"/>
      <c r="B15" s="523" t="s">
        <v>185</v>
      </c>
      <c r="C15" s="523"/>
      <c r="D15" s="523"/>
      <c r="E15" s="523"/>
      <c r="F15" s="523"/>
      <c r="G15" s="523"/>
      <c r="H15" s="523"/>
      <c r="I15" s="523"/>
      <c r="J15" s="523"/>
      <c r="K15" s="523"/>
      <c r="L15" s="523"/>
      <c r="M15" s="523"/>
      <c r="N15" s="523"/>
      <c r="O15" s="523"/>
      <c r="P15" s="523"/>
      <c r="Q15" s="523"/>
      <c r="R15" s="523"/>
      <c r="S15" s="523"/>
      <c r="T15" s="523"/>
      <c r="U15" s="523"/>
      <c r="V15" s="551"/>
      <c r="W15" s="551"/>
      <c r="X15" s="551"/>
      <c r="Y15" s="551"/>
    </row>
    <row r="16" spans="1:26" ht="16.5" x14ac:dyDescent="0.3">
      <c r="A16" s="161"/>
      <c r="B16" s="517" t="s">
        <v>3</v>
      </c>
      <c r="C16" s="517"/>
      <c r="D16" s="517"/>
      <c r="E16" s="517"/>
      <c r="F16" s="517"/>
      <c r="G16" s="517"/>
      <c r="H16" s="517"/>
      <c r="I16" s="517"/>
      <c r="J16" s="517"/>
      <c r="K16" s="233"/>
      <c r="L16" s="517" t="s">
        <v>72</v>
      </c>
      <c r="M16" s="517"/>
      <c r="N16" s="517"/>
      <c r="O16" s="517"/>
      <c r="P16" s="517"/>
      <c r="Q16" s="511" t="s">
        <v>186</v>
      </c>
      <c r="R16" s="511"/>
      <c r="S16" s="511"/>
      <c r="T16" s="511"/>
      <c r="U16" s="522" t="s">
        <v>40</v>
      </c>
      <c r="V16" s="551"/>
      <c r="W16" s="551"/>
      <c r="X16" s="551"/>
      <c r="Y16" s="551"/>
    </row>
    <row r="17" spans="1:26" ht="67.5" x14ac:dyDescent="0.3">
      <c r="A17" s="161"/>
      <c r="B17" s="231" t="s">
        <v>51</v>
      </c>
      <c r="C17" s="231" t="s">
        <v>12</v>
      </c>
      <c r="D17" s="231" t="s">
        <v>52</v>
      </c>
      <c r="E17" s="231" t="s">
        <v>24</v>
      </c>
      <c r="F17" s="231" t="s">
        <v>25</v>
      </c>
      <c r="G17" s="231" t="s">
        <v>26</v>
      </c>
      <c r="H17" s="231" t="s">
        <v>27</v>
      </c>
      <c r="I17" s="231" t="s">
        <v>28</v>
      </c>
      <c r="J17" s="231" t="s">
        <v>29</v>
      </c>
      <c r="K17" s="231" t="s">
        <v>47</v>
      </c>
      <c r="L17" s="232" t="s">
        <v>14</v>
      </c>
      <c r="M17" s="232" t="s">
        <v>79</v>
      </c>
      <c r="N17" s="232" t="s">
        <v>15</v>
      </c>
      <c r="O17" s="232" t="s">
        <v>16</v>
      </c>
      <c r="P17" s="231" t="s">
        <v>48</v>
      </c>
      <c r="Q17" s="232" t="s">
        <v>17</v>
      </c>
      <c r="R17" s="232" t="s">
        <v>18</v>
      </c>
      <c r="S17" s="232" t="s">
        <v>19</v>
      </c>
      <c r="T17" s="232" t="s">
        <v>361</v>
      </c>
      <c r="U17" s="522"/>
      <c r="V17" s="551"/>
      <c r="W17" s="551"/>
      <c r="X17" s="551"/>
      <c r="Y17" s="551"/>
    </row>
    <row r="18" spans="1:26" ht="119.25" customHeight="1" x14ac:dyDescent="0.3">
      <c r="A18" s="161"/>
      <c r="B18" s="519" t="s">
        <v>187</v>
      </c>
      <c r="C18" s="236" t="s">
        <v>188</v>
      </c>
      <c r="D18" s="236" t="s">
        <v>189</v>
      </c>
      <c r="E18" s="142">
        <v>1</v>
      </c>
      <c r="F18" s="142">
        <v>0</v>
      </c>
      <c r="G18" s="142">
        <v>1</v>
      </c>
      <c r="H18" s="142">
        <v>0</v>
      </c>
      <c r="I18" s="242">
        <f>SUM(E18:H18)</f>
        <v>2</v>
      </c>
      <c r="J18" s="236" t="s">
        <v>177</v>
      </c>
      <c r="K18" s="236" t="s">
        <v>30</v>
      </c>
      <c r="L18" s="381">
        <v>3</v>
      </c>
      <c r="M18" s="236" t="s">
        <v>190</v>
      </c>
      <c r="N18" s="236" t="s">
        <v>189</v>
      </c>
      <c r="O18" s="227">
        <v>1</v>
      </c>
      <c r="P18" s="236" t="s">
        <v>191</v>
      </c>
      <c r="Q18" s="228">
        <f>R18+S18+T18</f>
        <v>0</v>
      </c>
      <c r="R18" s="224">
        <v>0</v>
      </c>
      <c r="S18" s="224">
        <v>0</v>
      </c>
      <c r="T18" s="224">
        <v>0</v>
      </c>
      <c r="U18" s="224">
        <v>0</v>
      </c>
      <c r="V18" s="382" t="s">
        <v>550</v>
      </c>
      <c r="W18" s="469" t="s">
        <v>602</v>
      </c>
      <c r="X18" s="469" t="s">
        <v>604</v>
      </c>
      <c r="Y18" s="469" t="s">
        <v>603</v>
      </c>
      <c r="Z18" s="380" t="s">
        <v>605</v>
      </c>
    </row>
    <row r="19" spans="1:26" ht="174.75" customHeight="1" x14ac:dyDescent="0.3">
      <c r="A19" s="161"/>
      <c r="B19" s="519"/>
      <c r="C19" s="236" t="s">
        <v>192</v>
      </c>
      <c r="D19" s="236" t="s">
        <v>193</v>
      </c>
      <c r="E19" s="240">
        <v>27</v>
      </c>
      <c r="F19" s="240">
        <v>27</v>
      </c>
      <c r="G19" s="240">
        <v>27</v>
      </c>
      <c r="H19" s="240">
        <v>27</v>
      </c>
      <c r="I19" s="230">
        <v>27</v>
      </c>
      <c r="J19" s="236" t="s">
        <v>177</v>
      </c>
      <c r="K19" s="236" t="s">
        <v>113</v>
      </c>
      <c r="L19" s="230">
        <v>4</v>
      </c>
      <c r="M19" s="236" t="s">
        <v>194</v>
      </c>
      <c r="N19" s="236" t="s">
        <v>193</v>
      </c>
      <c r="O19" s="137">
        <f>E19</f>
        <v>27</v>
      </c>
      <c r="P19" s="236" t="s">
        <v>191</v>
      </c>
      <c r="Q19" s="228">
        <f>R19+S19+T19</f>
        <v>0</v>
      </c>
      <c r="R19" s="139">
        <v>0</v>
      </c>
      <c r="S19" s="224">
        <v>0</v>
      </c>
      <c r="T19" s="224">
        <v>0</v>
      </c>
      <c r="U19" s="237">
        <f>968658537-4000000</f>
        <v>964658537</v>
      </c>
      <c r="V19" s="382" t="s">
        <v>551</v>
      </c>
      <c r="W19" s="469" t="s">
        <v>606</v>
      </c>
      <c r="X19" s="469" t="s">
        <v>607</v>
      </c>
      <c r="Y19" s="469" t="s">
        <v>608</v>
      </c>
      <c r="Z19" s="380" t="s">
        <v>611</v>
      </c>
    </row>
    <row r="20" spans="1:26" ht="96.75" customHeight="1" x14ac:dyDescent="0.3">
      <c r="A20" s="161"/>
      <c r="B20" s="520" t="s">
        <v>195</v>
      </c>
      <c r="C20" s="236" t="s">
        <v>196</v>
      </c>
      <c r="D20" s="236" t="s">
        <v>197</v>
      </c>
      <c r="E20" s="240">
        <v>0</v>
      </c>
      <c r="F20" s="240">
        <v>1</v>
      </c>
      <c r="G20" s="240">
        <v>0</v>
      </c>
      <c r="H20" s="240">
        <v>0</v>
      </c>
      <c r="I20" s="244">
        <f>SUM(E20:H20)</f>
        <v>1</v>
      </c>
      <c r="J20" s="236" t="s">
        <v>177</v>
      </c>
      <c r="K20" s="236" t="s">
        <v>30</v>
      </c>
      <c r="L20" s="510">
        <v>5</v>
      </c>
      <c r="M20" s="502" t="s">
        <v>196</v>
      </c>
      <c r="N20" s="502" t="s">
        <v>198</v>
      </c>
      <c r="O20" s="521">
        <v>1</v>
      </c>
      <c r="P20" s="502" t="s">
        <v>199</v>
      </c>
      <c r="Q20" s="518">
        <f>R20+S20+T20</f>
        <v>37785600</v>
      </c>
      <c r="R20" s="513">
        <v>37785600</v>
      </c>
      <c r="S20" s="512">
        <v>0</v>
      </c>
      <c r="T20" s="512">
        <v>0</v>
      </c>
      <c r="U20" s="512">
        <v>0</v>
      </c>
      <c r="V20" s="539" t="s">
        <v>552</v>
      </c>
      <c r="W20" s="544" t="s">
        <v>618</v>
      </c>
      <c r="X20" s="544" t="s">
        <v>560</v>
      </c>
      <c r="Y20" s="548" t="s">
        <v>619</v>
      </c>
      <c r="Z20" s="540" t="s">
        <v>620</v>
      </c>
    </row>
    <row r="21" spans="1:26" ht="93" customHeight="1" x14ac:dyDescent="0.3">
      <c r="A21" s="161"/>
      <c r="B21" s="520"/>
      <c r="C21" s="236" t="s">
        <v>200</v>
      </c>
      <c r="D21" s="226" t="s">
        <v>201</v>
      </c>
      <c r="E21" s="229">
        <v>1</v>
      </c>
      <c r="F21" s="144">
        <v>0</v>
      </c>
      <c r="G21" s="144">
        <v>0</v>
      </c>
      <c r="H21" s="144">
        <v>0</v>
      </c>
      <c r="I21" s="230">
        <f>SUM(E21:H21)</f>
        <v>1</v>
      </c>
      <c r="J21" s="236" t="s">
        <v>177</v>
      </c>
      <c r="K21" s="236" t="s">
        <v>30</v>
      </c>
      <c r="L21" s="510"/>
      <c r="M21" s="502"/>
      <c r="N21" s="502"/>
      <c r="O21" s="521"/>
      <c r="P21" s="502"/>
      <c r="Q21" s="518"/>
      <c r="R21" s="513"/>
      <c r="S21" s="512"/>
      <c r="T21" s="512"/>
      <c r="U21" s="512"/>
      <c r="V21" s="539"/>
      <c r="W21" s="546"/>
      <c r="X21" s="546"/>
      <c r="Y21" s="549"/>
      <c r="Z21" s="541"/>
    </row>
    <row r="22" spans="1:26" ht="16.5" x14ac:dyDescent="0.3">
      <c r="A22" s="161"/>
      <c r="B22" s="523" t="s">
        <v>202</v>
      </c>
      <c r="C22" s="523"/>
      <c r="D22" s="523"/>
      <c r="E22" s="523"/>
      <c r="F22" s="523"/>
      <c r="G22" s="523"/>
      <c r="H22" s="523"/>
      <c r="I22" s="523"/>
      <c r="J22" s="523"/>
      <c r="K22" s="523"/>
      <c r="L22" s="523"/>
      <c r="M22" s="523"/>
      <c r="N22" s="523"/>
      <c r="O22" s="523"/>
      <c r="P22" s="523"/>
      <c r="Q22" s="523"/>
      <c r="R22" s="523"/>
      <c r="S22" s="523"/>
      <c r="T22" s="523"/>
      <c r="U22" s="523"/>
      <c r="V22" s="552"/>
      <c r="W22" s="551"/>
      <c r="X22" s="551"/>
      <c r="Y22" s="551"/>
    </row>
    <row r="23" spans="1:26" ht="16.5" x14ac:dyDescent="0.3">
      <c r="A23" s="161"/>
      <c r="B23" s="523" t="s">
        <v>203</v>
      </c>
      <c r="C23" s="523"/>
      <c r="D23" s="523"/>
      <c r="E23" s="523"/>
      <c r="F23" s="523"/>
      <c r="G23" s="523"/>
      <c r="H23" s="523"/>
      <c r="I23" s="523"/>
      <c r="J23" s="523"/>
      <c r="K23" s="523"/>
      <c r="L23" s="523"/>
      <c r="M23" s="523"/>
      <c r="N23" s="523"/>
      <c r="O23" s="523"/>
      <c r="P23" s="523"/>
      <c r="Q23" s="523"/>
      <c r="R23" s="523"/>
      <c r="S23" s="523"/>
      <c r="T23" s="523"/>
      <c r="U23" s="523"/>
      <c r="V23" s="552"/>
      <c r="W23" s="551"/>
      <c r="X23" s="551"/>
      <c r="Y23" s="551"/>
    </row>
    <row r="24" spans="1:26" ht="16.5" x14ac:dyDescent="0.3">
      <c r="A24" s="161"/>
      <c r="B24" s="523" t="s">
        <v>204</v>
      </c>
      <c r="C24" s="523"/>
      <c r="D24" s="523"/>
      <c r="E24" s="523"/>
      <c r="F24" s="523"/>
      <c r="G24" s="523"/>
      <c r="H24" s="523"/>
      <c r="I24" s="523"/>
      <c r="J24" s="523"/>
      <c r="K24" s="523"/>
      <c r="L24" s="523"/>
      <c r="M24" s="523"/>
      <c r="N24" s="523"/>
      <c r="O24" s="523"/>
      <c r="P24" s="523"/>
      <c r="Q24" s="523"/>
      <c r="R24" s="523"/>
      <c r="S24" s="523"/>
      <c r="T24" s="523"/>
      <c r="U24" s="523"/>
      <c r="V24" s="552"/>
      <c r="W24" s="551"/>
      <c r="X24" s="551"/>
      <c r="Y24" s="551"/>
    </row>
    <row r="25" spans="1:26" ht="16.5" x14ac:dyDescent="0.3">
      <c r="A25" s="161"/>
      <c r="B25" s="517" t="s">
        <v>3</v>
      </c>
      <c r="C25" s="517"/>
      <c r="D25" s="517"/>
      <c r="E25" s="517"/>
      <c r="F25" s="517"/>
      <c r="G25" s="517"/>
      <c r="H25" s="517"/>
      <c r="I25" s="517"/>
      <c r="J25" s="517"/>
      <c r="K25" s="233"/>
      <c r="L25" s="517" t="s">
        <v>72</v>
      </c>
      <c r="M25" s="517"/>
      <c r="N25" s="517"/>
      <c r="O25" s="517"/>
      <c r="P25" s="517"/>
      <c r="Q25" s="511" t="s">
        <v>4</v>
      </c>
      <c r="R25" s="511"/>
      <c r="S25" s="511"/>
      <c r="T25" s="511"/>
      <c r="U25" s="511" t="s">
        <v>40</v>
      </c>
      <c r="V25" s="552"/>
      <c r="W25" s="551"/>
      <c r="X25" s="551"/>
      <c r="Y25" s="551"/>
    </row>
    <row r="26" spans="1:26" ht="45" customHeight="1" x14ac:dyDescent="0.3">
      <c r="A26" s="161"/>
      <c r="B26" s="231" t="s">
        <v>51</v>
      </c>
      <c r="C26" s="231" t="s">
        <v>12</v>
      </c>
      <c r="D26" s="231" t="s">
        <v>52</v>
      </c>
      <c r="E26" s="231" t="s">
        <v>24</v>
      </c>
      <c r="F26" s="231" t="s">
        <v>25</v>
      </c>
      <c r="G26" s="231" t="s">
        <v>26</v>
      </c>
      <c r="H26" s="231" t="s">
        <v>27</v>
      </c>
      <c r="I26" s="231" t="s">
        <v>28</v>
      </c>
      <c r="J26" s="231" t="s">
        <v>29</v>
      </c>
      <c r="K26" s="231" t="s">
        <v>47</v>
      </c>
      <c r="L26" s="232" t="s">
        <v>14</v>
      </c>
      <c r="M26" s="148" t="s">
        <v>79</v>
      </c>
      <c r="N26" s="232" t="s">
        <v>15</v>
      </c>
      <c r="O26" s="232" t="s">
        <v>16</v>
      </c>
      <c r="P26" s="231" t="s">
        <v>48</v>
      </c>
      <c r="Q26" s="232" t="s">
        <v>17</v>
      </c>
      <c r="R26" s="232" t="s">
        <v>18</v>
      </c>
      <c r="S26" s="232" t="s">
        <v>19</v>
      </c>
      <c r="T26" s="232" t="s">
        <v>361</v>
      </c>
      <c r="U26" s="511"/>
      <c r="V26" s="552"/>
      <c r="W26" s="551"/>
      <c r="X26" s="551"/>
      <c r="Y26" s="551"/>
    </row>
    <row r="27" spans="1:26" ht="33" customHeight="1" x14ac:dyDescent="0.3">
      <c r="A27" s="161"/>
      <c r="B27" s="507" t="s">
        <v>205</v>
      </c>
      <c r="C27" s="499" t="s">
        <v>206</v>
      </c>
      <c r="D27" s="500" t="s">
        <v>207</v>
      </c>
      <c r="E27" s="501">
        <v>4</v>
      </c>
      <c r="F27" s="501">
        <v>0</v>
      </c>
      <c r="G27" s="501">
        <v>0</v>
      </c>
      <c r="H27" s="501">
        <v>0</v>
      </c>
      <c r="I27" s="510">
        <f>SUM(E27:H27)</f>
        <v>4</v>
      </c>
      <c r="J27" s="500" t="s">
        <v>177</v>
      </c>
      <c r="K27" s="500" t="s">
        <v>30</v>
      </c>
      <c r="L27" s="510">
        <v>6</v>
      </c>
      <c r="M27" s="502" t="s">
        <v>218</v>
      </c>
      <c r="N27" s="502" t="s">
        <v>208</v>
      </c>
      <c r="O27" s="488">
        <v>1</v>
      </c>
      <c r="P27" s="504" t="s">
        <v>219</v>
      </c>
      <c r="Q27" s="514">
        <f>R27+S27+T27</f>
        <v>41472000</v>
      </c>
      <c r="R27" s="513">
        <v>41472000</v>
      </c>
      <c r="S27" s="512">
        <v>0</v>
      </c>
      <c r="T27" s="512">
        <v>0</v>
      </c>
      <c r="U27" s="512">
        <v>0</v>
      </c>
      <c r="V27" s="539" t="s">
        <v>553</v>
      </c>
      <c r="W27" s="542" t="s">
        <v>614</v>
      </c>
      <c r="X27" s="550" t="s">
        <v>629</v>
      </c>
      <c r="Y27" s="553" t="s">
        <v>632</v>
      </c>
      <c r="Z27" s="543" t="s">
        <v>616</v>
      </c>
    </row>
    <row r="28" spans="1:26" ht="56.25" customHeight="1" x14ac:dyDescent="0.3">
      <c r="A28" s="161"/>
      <c r="B28" s="507"/>
      <c r="C28" s="499"/>
      <c r="D28" s="500"/>
      <c r="E28" s="501"/>
      <c r="F28" s="501"/>
      <c r="G28" s="501"/>
      <c r="H28" s="501"/>
      <c r="I28" s="510"/>
      <c r="J28" s="500"/>
      <c r="K28" s="500"/>
      <c r="L28" s="510"/>
      <c r="M28" s="502"/>
      <c r="N28" s="502"/>
      <c r="O28" s="488"/>
      <c r="P28" s="505"/>
      <c r="Q28" s="515"/>
      <c r="R28" s="513"/>
      <c r="S28" s="512"/>
      <c r="T28" s="512"/>
      <c r="U28" s="512"/>
      <c r="V28" s="539"/>
      <c r="W28" s="542"/>
      <c r="X28" s="550"/>
      <c r="Y28" s="554"/>
      <c r="Z28" s="543"/>
    </row>
    <row r="29" spans="1:26" ht="25.5" customHeight="1" x14ac:dyDescent="0.3">
      <c r="A29" s="161"/>
      <c r="B29" s="507"/>
      <c r="C29" s="502" t="s">
        <v>209</v>
      </c>
      <c r="D29" s="502" t="s">
        <v>210</v>
      </c>
      <c r="E29" s="501">
        <v>0</v>
      </c>
      <c r="F29" s="501">
        <v>1</v>
      </c>
      <c r="G29" s="509">
        <v>0</v>
      </c>
      <c r="H29" s="509">
        <v>0</v>
      </c>
      <c r="I29" s="538">
        <v>1</v>
      </c>
      <c r="J29" s="490" t="s">
        <v>177</v>
      </c>
      <c r="K29" s="502" t="s">
        <v>30</v>
      </c>
      <c r="L29" s="510"/>
      <c r="M29" s="502"/>
      <c r="N29" s="502" t="s">
        <v>212</v>
      </c>
      <c r="O29" s="489">
        <v>0.25</v>
      </c>
      <c r="P29" s="505"/>
      <c r="Q29" s="515"/>
      <c r="R29" s="513"/>
      <c r="S29" s="512"/>
      <c r="T29" s="512"/>
      <c r="U29" s="512"/>
      <c r="V29" s="539" t="s">
        <v>554</v>
      </c>
      <c r="W29" s="542" t="s">
        <v>630</v>
      </c>
      <c r="X29" s="550"/>
      <c r="Y29" s="554"/>
      <c r="Z29" s="543"/>
    </row>
    <row r="30" spans="1:26" ht="62.25" customHeight="1" x14ac:dyDescent="0.3">
      <c r="A30" s="161"/>
      <c r="B30" s="507"/>
      <c r="C30" s="502"/>
      <c r="D30" s="502"/>
      <c r="E30" s="501"/>
      <c r="F30" s="501"/>
      <c r="G30" s="509"/>
      <c r="H30" s="509"/>
      <c r="I30" s="538"/>
      <c r="J30" s="490"/>
      <c r="K30" s="502"/>
      <c r="L30" s="510"/>
      <c r="M30" s="502"/>
      <c r="N30" s="502"/>
      <c r="O30" s="489"/>
      <c r="P30" s="505"/>
      <c r="Q30" s="515"/>
      <c r="R30" s="513"/>
      <c r="S30" s="512"/>
      <c r="T30" s="512"/>
      <c r="U30" s="512"/>
      <c r="V30" s="539"/>
      <c r="W30" s="542"/>
      <c r="X30" s="550"/>
      <c r="Y30" s="554"/>
      <c r="Z30" s="543"/>
    </row>
    <row r="31" spans="1:26" ht="159" customHeight="1" x14ac:dyDescent="0.3">
      <c r="A31" s="161"/>
      <c r="B31" s="507"/>
      <c r="C31" s="226" t="s">
        <v>211</v>
      </c>
      <c r="D31" s="226" t="s">
        <v>210</v>
      </c>
      <c r="E31" s="241">
        <v>0</v>
      </c>
      <c r="F31" s="239">
        <v>0.25</v>
      </c>
      <c r="G31" s="239">
        <v>0.75</v>
      </c>
      <c r="H31" s="239">
        <v>0</v>
      </c>
      <c r="I31" s="239">
        <v>1</v>
      </c>
      <c r="J31" s="236" t="s">
        <v>177</v>
      </c>
      <c r="K31" s="236" t="s">
        <v>30</v>
      </c>
      <c r="L31" s="510"/>
      <c r="M31" s="502"/>
      <c r="N31" s="226" t="s">
        <v>214</v>
      </c>
      <c r="O31" s="238">
        <v>1</v>
      </c>
      <c r="P31" s="506"/>
      <c r="Q31" s="516"/>
      <c r="R31" s="513"/>
      <c r="S31" s="512"/>
      <c r="T31" s="512"/>
      <c r="U31" s="512"/>
      <c r="V31" s="382" t="s">
        <v>557</v>
      </c>
      <c r="W31" s="469" t="s">
        <v>596</v>
      </c>
      <c r="X31" s="550"/>
      <c r="Y31" s="555"/>
      <c r="Z31" s="543"/>
    </row>
    <row r="32" spans="1:26" ht="15" customHeight="1" x14ac:dyDescent="0.3">
      <c r="A32" s="161"/>
      <c r="B32" s="507"/>
      <c r="C32" s="492" t="s">
        <v>213</v>
      </c>
      <c r="D32" s="492" t="s">
        <v>210</v>
      </c>
      <c r="E32" s="508">
        <v>0</v>
      </c>
      <c r="F32" s="494">
        <v>0.25</v>
      </c>
      <c r="G32" s="494">
        <v>0.25</v>
      </c>
      <c r="H32" s="494">
        <v>0.5</v>
      </c>
      <c r="I32" s="494">
        <v>1</v>
      </c>
      <c r="J32" s="492" t="s">
        <v>177</v>
      </c>
      <c r="K32" s="490" t="s">
        <v>30</v>
      </c>
      <c r="L32" s="560">
        <v>7</v>
      </c>
      <c r="M32" s="492" t="s">
        <v>220</v>
      </c>
      <c r="N32" s="496" t="s">
        <v>216</v>
      </c>
      <c r="O32" s="488">
        <v>100</v>
      </c>
      <c r="P32" s="504" t="s">
        <v>219</v>
      </c>
      <c r="Q32" s="527">
        <f>R32+S32+T32</f>
        <v>1034250746</v>
      </c>
      <c r="R32" s="530">
        <f>1069706400-35455654-218488000-70400000</f>
        <v>745362746</v>
      </c>
      <c r="S32" s="524">
        <v>0</v>
      </c>
      <c r="T32" s="524">
        <v>288888000</v>
      </c>
      <c r="U32" s="533">
        <f>10000000+4000000+8000000</f>
        <v>22000000</v>
      </c>
      <c r="V32" s="539" t="s">
        <v>555</v>
      </c>
      <c r="W32" s="542" t="s">
        <v>559</v>
      </c>
      <c r="X32" s="542" t="s">
        <v>615</v>
      </c>
      <c r="Y32" s="544" t="s">
        <v>631</v>
      </c>
      <c r="Z32" s="543" t="s">
        <v>617</v>
      </c>
    </row>
    <row r="33" spans="1:26" ht="104.25" customHeight="1" x14ac:dyDescent="0.3">
      <c r="A33" s="161"/>
      <c r="B33" s="507"/>
      <c r="C33" s="493"/>
      <c r="D33" s="493"/>
      <c r="E33" s="508"/>
      <c r="F33" s="494"/>
      <c r="G33" s="494"/>
      <c r="H33" s="494"/>
      <c r="I33" s="494"/>
      <c r="J33" s="493"/>
      <c r="K33" s="490"/>
      <c r="L33" s="560"/>
      <c r="M33" s="493"/>
      <c r="N33" s="497"/>
      <c r="O33" s="488"/>
      <c r="P33" s="505"/>
      <c r="Q33" s="528"/>
      <c r="R33" s="531"/>
      <c r="S33" s="525"/>
      <c r="T33" s="525"/>
      <c r="U33" s="534"/>
      <c r="V33" s="539"/>
      <c r="W33" s="542"/>
      <c r="X33" s="542"/>
      <c r="Y33" s="545"/>
      <c r="Z33" s="543"/>
    </row>
    <row r="34" spans="1:26" ht="49.5" customHeight="1" x14ac:dyDescent="0.3">
      <c r="A34" s="161"/>
      <c r="B34" s="507"/>
      <c r="C34" s="493"/>
      <c r="D34" s="493"/>
      <c r="E34" s="508"/>
      <c r="F34" s="494"/>
      <c r="G34" s="494"/>
      <c r="H34" s="494"/>
      <c r="I34" s="494"/>
      <c r="J34" s="493"/>
      <c r="K34" s="490"/>
      <c r="L34" s="560"/>
      <c r="M34" s="493"/>
      <c r="N34" s="497"/>
      <c r="O34" s="488"/>
      <c r="P34" s="505"/>
      <c r="Q34" s="528"/>
      <c r="R34" s="531"/>
      <c r="S34" s="525"/>
      <c r="T34" s="525"/>
      <c r="U34" s="534"/>
      <c r="V34" s="539"/>
      <c r="W34" s="542"/>
      <c r="X34" s="542"/>
      <c r="Y34" s="545"/>
      <c r="Z34" s="543"/>
    </row>
    <row r="35" spans="1:26" ht="16.5" hidden="1" customHeight="1" x14ac:dyDescent="0.3">
      <c r="A35" s="161"/>
      <c r="B35" s="507"/>
      <c r="C35" s="493"/>
      <c r="D35" s="493"/>
      <c r="E35" s="508"/>
      <c r="F35" s="494"/>
      <c r="G35" s="494"/>
      <c r="H35" s="494"/>
      <c r="I35" s="494"/>
      <c r="J35" s="493"/>
      <c r="K35" s="490"/>
      <c r="L35" s="560"/>
      <c r="M35" s="493"/>
      <c r="N35" s="498"/>
      <c r="O35" s="488"/>
      <c r="P35" s="505"/>
      <c r="Q35" s="528"/>
      <c r="R35" s="531"/>
      <c r="S35" s="525"/>
      <c r="T35" s="525"/>
      <c r="U35" s="534"/>
      <c r="W35" s="472"/>
      <c r="X35" s="542"/>
      <c r="Y35" s="545"/>
      <c r="Z35" s="543"/>
    </row>
    <row r="36" spans="1:26" ht="56.25" customHeight="1" x14ac:dyDescent="0.3">
      <c r="A36" s="161"/>
      <c r="B36" s="507"/>
      <c r="C36" s="493"/>
      <c r="D36" s="493"/>
      <c r="E36" s="508"/>
      <c r="F36" s="494"/>
      <c r="G36" s="494"/>
      <c r="H36" s="494"/>
      <c r="I36" s="494"/>
      <c r="J36" s="493"/>
      <c r="K36" s="490"/>
      <c r="L36" s="560"/>
      <c r="M36" s="493"/>
      <c r="N36" s="496" t="s">
        <v>217</v>
      </c>
      <c r="O36" s="489">
        <v>1</v>
      </c>
      <c r="P36" s="505"/>
      <c r="Q36" s="528"/>
      <c r="R36" s="531"/>
      <c r="S36" s="525"/>
      <c r="T36" s="525"/>
      <c r="U36" s="534"/>
      <c r="V36" s="539" t="s">
        <v>556</v>
      </c>
      <c r="W36" s="542" t="s">
        <v>485</v>
      </c>
      <c r="X36" s="542"/>
      <c r="Y36" s="545"/>
      <c r="Z36" s="543"/>
    </row>
    <row r="37" spans="1:26" ht="16.5" x14ac:dyDescent="0.3">
      <c r="A37" s="161"/>
      <c r="B37" s="507"/>
      <c r="C37" s="493"/>
      <c r="D37" s="493"/>
      <c r="E37" s="508"/>
      <c r="F37" s="494"/>
      <c r="G37" s="494"/>
      <c r="H37" s="494"/>
      <c r="I37" s="494"/>
      <c r="J37" s="493"/>
      <c r="K37" s="490"/>
      <c r="L37" s="560"/>
      <c r="M37" s="493"/>
      <c r="N37" s="497"/>
      <c r="O37" s="489"/>
      <c r="P37" s="505"/>
      <c r="Q37" s="528"/>
      <c r="R37" s="531"/>
      <c r="S37" s="525"/>
      <c r="T37" s="525"/>
      <c r="U37" s="534"/>
      <c r="V37" s="539"/>
      <c r="W37" s="542"/>
      <c r="X37" s="542"/>
      <c r="Y37" s="545"/>
      <c r="Z37" s="543"/>
    </row>
    <row r="38" spans="1:26" ht="16.5" hidden="1" customHeight="1" x14ac:dyDescent="0.3">
      <c r="A38" s="161"/>
      <c r="B38" s="507"/>
      <c r="C38" s="493"/>
      <c r="D38" s="493"/>
      <c r="E38" s="508"/>
      <c r="F38" s="494"/>
      <c r="G38" s="494"/>
      <c r="H38" s="494"/>
      <c r="I38" s="494"/>
      <c r="J38" s="493"/>
      <c r="K38" s="490"/>
      <c r="L38" s="560"/>
      <c r="M38" s="493"/>
      <c r="N38" s="497"/>
      <c r="O38" s="489"/>
      <c r="P38" s="505"/>
      <c r="Q38" s="528"/>
      <c r="R38" s="531"/>
      <c r="S38" s="525"/>
      <c r="T38" s="525"/>
      <c r="U38" s="534"/>
      <c r="V38" s="539"/>
      <c r="W38" s="542"/>
      <c r="X38" s="542"/>
      <c r="Y38" s="545"/>
      <c r="Z38" s="543"/>
    </row>
    <row r="39" spans="1:26" ht="16.5" hidden="1" customHeight="1" x14ac:dyDescent="0.3">
      <c r="A39" s="161"/>
      <c r="B39" s="507"/>
      <c r="C39" s="493"/>
      <c r="D39" s="493"/>
      <c r="E39" s="508"/>
      <c r="F39" s="494"/>
      <c r="G39" s="494"/>
      <c r="H39" s="494"/>
      <c r="I39" s="494"/>
      <c r="J39" s="493"/>
      <c r="K39" s="490"/>
      <c r="L39" s="560"/>
      <c r="M39" s="493"/>
      <c r="N39" s="497"/>
      <c r="O39" s="489"/>
      <c r="P39" s="505"/>
      <c r="Q39" s="528"/>
      <c r="R39" s="531"/>
      <c r="S39" s="525"/>
      <c r="T39" s="525"/>
      <c r="U39" s="534"/>
      <c r="V39" s="539"/>
      <c r="W39" s="542"/>
      <c r="X39" s="542"/>
      <c r="Y39" s="545"/>
      <c r="Z39" s="543"/>
    </row>
    <row r="40" spans="1:26" ht="16.5" hidden="1" customHeight="1" x14ac:dyDescent="0.3">
      <c r="A40" s="161"/>
      <c r="B40" s="507"/>
      <c r="C40" s="493"/>
      <c r="D40" s="493"/>
      <c r="E40" s="508"/>
      <c r="F40" s="494"/>
      <c r="G40" s="494"/>
      <c r="H40" s="494"/>
      <c r="I40" s="494"/>
      <c r="J40" s="493"/>
      <c r="K40" s="490"/>
      <c r="L40" s="560"/>
      <c r="M40" s="493"/>
      <c r="N40" s="497"/>
      <c r="O40" s="489"/>
      <c r="P40" s="505"/>
      <c r="Q40" s="528"/>
      <c r="R40" s="531"/>
      <c r="S40" s="525"/>
      <c r="T40" s="525"/>
      <c r="U40" s="534"/>
      <c r="V40" s="539"/>
      <c r="W40" s="542"/>
      <c r="X40" s="542"/>
      <c r="Y40" s="545"/>
      <c r="Z40" s="543"/>
    </row>
    <row r="41" spans="1:26" ht="16.5" hidden="1" customHeight="1" x14ac:dyDescent="0.3">
      <c r="A41" s="161"/>
      <c r="B41" s="507"/>
      <c r="C41" s="493"/>
      <c r="D41" s="493"/>
      <c r="E41" s="508"/>
      <c r="F41" s="494"/>
      <c r="G41" s="494"/>
      <c r="H41" s="494"/>
      <c r="I41" s="494"/>
      <c r="J41" s="493"/>
      <c r="K41" s="490"/>
      <c r="L41" s="560"/>
      <c r="M41" s="493"/>
      <c r="N41" s="497"/>
      <c r="O41" s="489"/>
      <c r="P41" s="506"/>
      <c r="Q41" s="528"/>
      <c r="R41" s="531"/>
      <c r="S41" s="525"/>
      <c r="T41" s="525"/>
      <c r="U41" s="534"/>
      <c r="V41" s="539"/>
      <c r="W41" s="542"/>
      <c r="X41" s="542"/>
      <c r="Y41" s="545"/>
      <c r="Z41" s="543"/>
    </row>
    <row r="42" spans="1:26" ht="16.5" x14ac:dyDescent="0.3">
      <c r="A42" s="161"/>
      <c r="B42" s="507"/>
      <c r="C42" s="493"/>
      <c r="D42" s="493"/>
      <c r="E42" s="508"/>
      <c r="F42" s="494"/>
      <c r="G42" s="494"/>
      <c r="H42" s="494"/>
      <c r="I42" s="494"/>
      <c r="J42" s="493"/>
      <c r="K42" s="490"/>
      <c r="L42" s="560"/>
      <c r="M42" s="493"/>
      <c r="N42" s="497"/>
      <c r="O42" s="489"/>
      <c r="P42" s="504"/>
      <c r="Q42" s="528"/>
      <c r="R42" s="531"/>
      <c r="S42" s="525"/>
      <c r="T42" s="525"/>
      <c r="U42" s="534"/>
      <c r="V42" s="539"/>
      <c r="W42" s="542"/>
      <c r="X42" s="542"/>
      <c r="Y42" s="545"/>
      <c r="Z42" s="543"/>
    </row>
    <row r="43" spans="1:26" ht="27.75" customHeight="1" x14ac:dyDescent="0.3">
      <c r="A43" s="161"/>
      <c r="B43" s="507"/>
      <c r="C43" s="493"/>
      <c r="D43" s="493"/>
      <c r="E43" s="508"/>
      <c r="F43" s="494"/>
      <c r="G43" s="494"/>
      <c r="H43" s="494"/>
      <c r="I43" s="494"/>
      <c r="J43" s="493"/>
      <c r="K43" s="490"/>
      <c r="L43" s="560"/>
      <c r="M43" s="493"/>
      <c r="N43" s="497"/>
      <c r="O43" s="489"/>
      <c r="P43" s="505"/>
      <c r="Q43" s="528"/>
      <c r="R43" s="531"/>
      <c r="S43" s="525"/>
      <c r="T43" s="525"/>
      <c r="U43" s="534"/>
      <c r="V43" s="539"/>
      <c r="W43" s="542"/>
      <c r="X43" s="542"/>
      <c r="Y43" s="545"/>
      <c r="Z43" s="543"/>
    </row>
    <row r="44" spans="1:26" ht="16.5" hidden="1" customHeight="1" x14ac:dyDescent="0.3">
      <c r="A44" s="161"/>
      <c r="B44" s="507"/>
      <c r="C44" s="493"/>
      <c r="D44" s="493"/>
      <c r="E44" s="508"/>
      <c r="F44" s="494"/>
      <c r="G44" s="494"/>
      <c r="H44" s="494"/>
      <c r="I44" s="494"/>
      <c r="J44" s="493"/>
      <c r="K44" s="490"/>
      <c r="L44" s="560"/>
      <c r="M44" s="493"/>
      <c r="N44" s="497"/>
      <c r="O44" s="489"/>
      <c r="P44" s="505"/>
      <c r="Q44" s="528"/>
      <c r="R44" s="531"/>
      <c r="S44" s="525"/>
      <c r="T44" s="525"/>
      <c r="U44" s="534"/>
      <c r="V44" s="539"/>
      <c r="W44" s="542"/>
      <c r="X44" s="542"/>
      <c r="Y44" s="545"/>
      <c r="Z44" s="543"/>
    </row>
    <row r="45" spans="1:26" ht="16.5" hidden="1" customHeight="1" x14ac:dyDescent="0.3">
      <c r="A45" s="161"/>
      <c r="B45" s="507"/>
      <c r="C45" s="493"/>
      <c r="D45" s="493"/>
      <c r="E45" s="508"/>
      <c r="F45" s="494"/>
      <c r="G45" s="494"/>
      <c r="H45" s="494"/>
      <c r="I45" s="494"/>
      <c r="J45" s="493"/>
      <c r="K45" s="490"/>
      <c r="L45" s="560"/>
      <c r="M45" s="493"/>
      <c r="N45" s="497"/>
      <c r="O45" s="489"/>
      <c r="P45" s="505"/>
      <c r="Q45" s="528"/>
      <c r="R45" s="531"/>
      <c r="S45" s="525"/>
      <c r="T45" s="525"/>
      <c r="U45" s="534"/>
      <c r="V45" s="539"/>
      <c r="W45" s="542"/>
      <c r="X45" s="542"/>
      <c r="Y45" s="545"/>
      <c r="Z45" s="543"/>
    </row>
    <row r="46" spans="1:26" ht="16.5" hidden="1" customHeight="1" x14ac:dyDescent="0.3">
      <c r="A46" s="161"/>
      <c r="B46" s="507"/>
      <c r="C46" s="493"/>
      <c r="D46" s="493"/>
      <c r="E46" s="508"/>
      <c r="F46" s="494"/>
      <c r="G46" s="494"/>
      <c r="H46" s="494"/>
      <c r="I46" s="494"/>
      <c r="J46" s="493"/>
      <c r="K46" s="490"/>
      <c r="L46" s="560"/>
      <c r="M46" s="493"/>
      <c r="N46" s="497"/>
      <c r="O46" s="489"/>
      <c r="P46" s="506"/>
      <c r="Q46" s="528"/>
      <c r="R46" s="531"/>
      <c r="S46" s="525"/>
      <c r="T46" s="525"/>
      <c r="U46" s="534"/>
      <c r="V46" s="539"/>
      <c r="W46" s="542"/>
      <c r="X46" s="542"/>
      <c r="Y46" s="545"/>
      <c r="Z46" s="543"/>
    </row>
    <row r="47" spans="1:26" ht="16.5" x14ac:dyDescent="0.3">
      <c r="A47" s="161"/>
      <c r="B47" s="507"/>
      <c r="C47" s="493"/>
      <c r="D47" s="493"/>
      <c r="E47" s="508"/>
      <c r="F47" s="494"/>
      <c r="G47" s="494"/>
      <c r="H47" s="494"/>
      <c r="I47" s="494"/>
      <c r="J47" s="493"/>
      <c r="K47" s="490"/>
      <c r="L47" s="560"/>
      <c r="M47" s="493"/>
      <c r="N47" s="497"/>
      <c r="O47" s="489"/>
      <c r="P47" s="504"/>
      <c r="Q47" s="528"/>
      <c r="R47" s="531"/>
      <c r="S47" s="525"/>
      <c r="T47" s="525"/>
      <c r="U47" s="534"/>
      <c r="V47" s="539"/>
      <c r="W47" s="542"/>
      <c r="X47" s="542"/>
      <c r="Y47" s="545"/>
      <c r="Z47" s="543"/>
    </row>
    <row r="48" spans="1:26" ht="12" customHeight="1" x14ac:dyDescent="0.3">
      <c r="A48" s="161"/>
      <c r="B48" s="507"/>
      <c r="C48" s="493"/>
      <c r="D48" s="493"/>
      <c r="E48" s="508"/>
      <c r="F48" s="494"/>
      <c r="G48" s="494"/>
      <c r="H48" s="494"/>
      <c r="I48" s="494"/>
      <c r="J48" s="493"/>
      <c r="K48" s="490"/>
      <c r="L48" s="560"/>
      <c r="M48" s="493"/>
      <c r="N48" s="497"/>
      <c r="O48" s="489"/>
      <c r="P48" s="505"/>
      <c r="Q48" s="528"/>
      <c r="R48" s="531"/>
      <c r="S48" s="525"/>
      <c r="T48" s="525"/>
      <c r="U48" s="534"/>
      <c r="V48" s="539"/>
      <c r="W48" s="542"/>
      <c r="X48" s="542"/>
      <c r="Y48" s="545"/>
      <c r="Z48" s="543"/>
    </row>
    <row r="49" spans="1:26" ht="16.5" hidden="1" customHeight="1" x14ac:dyDescent="0.3">
      <c r="A49" s="161"/>
      <c r="B49" s="507"/>
      <c r="C49" s="493"/>
      <c r="D49" s="493"/>
      <c r="E49" s="508"/>
      <c r="F49" s="494"/>
      <c r="G49" s="494"/>
      <c r="H49" s="494"/>
      <c r="I49" s="494"/>
      <c r="J49" s="493"/>
      <c r="K49" s="490"/>
      <c r="L49" s="560"/>
      <c r="M49" s="493"/>
      <c r="N49" s="497"/>
      <c r="O49" s="489"/>
      <c r="P49" s="505"/>
      <c r="Q49" s="528"/>
      <c r="R49" s="531"/>
      <c r="S49" s="525"/>
      <c r="T49" s="525"/>
      <c r="U49" s="534"/>
      <c r="V49" s="539"/>
      <c r="W49" s="542"/>
      <c r="X49" s="542"/>
      <c r="Y49" s="545"/>
      <c r="Z49" s="543"/>
    </row>
    <row r="50" spans="1:26" ht="16.5" hidden="1" customHeight="1" x14ac:dyDescent="0.3">
      <c r="A50" s="161"/>
      <c r="B50" s="507"/>
      <c r="C50" s="493"/>
      <c r="D50" s="493"/>
      <c r="E50" s="508"/>
      <c r="F50" s="494"/>
      <c r="G50" s="494"/>
      <c r="H50" s="494"/>
      <c r="I50" s="494"/>
      <c r="J50" s="493"/>
      <c r="K50" s="490"/>
      <c r="L50" s="560"/>
      <c r="M50" s="493"/>
      <c r="N50" s="497"/>
      <c r="O50" s="489"/>
      <c r="P50" s="505"/>
      <c r="Q50" s="528"/>
      <c r="R50" s="531"/>
      <c r="S50" s="525"/>
      <c r="T50" s="525"/>
      <c r="U50" s="534"/>
      <c r="V50" s="539"/>
      <c r="W50" s="542"/>
      <c r="X50" s="542"/>
      <c r="Y50" s="545"/>
      <c r="Z50" s="543"/>
    </row>
    <row r="51" spans="1:26" ht="16.5" hidden="1" customHeight="1" x14ac:dyDescent="0.3">
      <c r="A51" s="161"/>
      <c r="B51" s="507"/>
      <c r="C51" s="493"/>
      <c r="D51" s="493"/>
      <c r="E51" s="508"/>
      <c r="F51" s="494"/>
      <c r="G51" s="494"/>
      <c r="H51" s="494"/>
      <c r="I51" s="494"/>
      <c r="J51" s="493"/>
      <c r="K51" s="490"/>
      <c r="L51" s="560"/>
      <c r="M51" s="493"/>
      <c r="N51" s="497"/>
      <c r="O51" s="489"/>
      <c r="P51" s="506"/>
      <c r="Q51" s="528"/>
      <c r="R51" s="531"/>
      <c r="S51" s="525"/>
      <c r="T51" s="525"/>
      <c r="U51" s="534"/>
      <c r="V51" s="539"/>
      <c r="W51" s="542"/>
      <c r="X51" s="542"/>
      <c r="Y51" s="545"/>
      <c r="Z51" s="543"/>
    </row>
    <row r="52" spans="1:26" ht="16.5" x14ac:dyDescent="0.3">
      <c r="A52" s="161"/>
      <c r="B52" s="507"/>
      <c r="C52" s="493"/>
      <c r="D52" s="493"/>
      <c r="E52" s="508"/>
      <c r="F52" s="494"/>
      <c r="G52" s="494"/>
      <c r="H52" s="494"/>
      <c r="I52" s="494"/>
      <c r="J52" s="493"/>
      <c r="K52" s="490"/>
      <c r="L52" s="560"/>
      <c r="M52" s="493"/>
      <c r="N52" s="497"/>
      <c r="O52" s="489"/>
      <c r="P52" s="504"/>
      <c r="Q52" s="528"/>
      <c r="R52" s="531"/>
      <c r="S52" s="525"/>
      <c r="T52" s="525"/>
      <c r="U52" s="534"/>
      <c r="V52" s="539"/>
      <c r="W52" s="542"/>
      <c r="X52" s="542"/>
      <c r="Y52" s="545"/>
      <c r="Z52" s="543"/>
    </row>
    <row r="53" spans="1:26" ht="20.25" customHeight="1" x14ac:dyDescent="0.3">
      <c r="A53" s="161"/>
      <c r="B53" s="507"/>
      <c r="C53" s="493"/>
      <c r="D53" s="493"/>
      <c r="E53" s="508"/>
      <c r="F53" s="494"/>
      <c r="G53" s="494"/>
      <c r="H53" s="494"/>
      <c r="I53" s="494"/>
      <c r="J53" s="493"/>
      <c r="K53" s="490"/>
      <c r="L53" s="560"/>
      <c r="M53" s="493"/>
      <c r="N53" s="497"/>
      <c r="O53" s="489"/>
      <c r="P53" s="505"/>
      <c r="Q53" s="528"/>
      <c r="R53" s="531"/>
      <c r="S53" s="525"/>
      <c r="T53" s="525"/>
      <c r="U53" s="534"/>
      <c r="V53" s="539"/>
      <c r="W53" s="542"/>
      <c r="X53" s="542"/>
      <c r="Y53" s="545"/>
      <c r="Z53" s="543"/>
    </row>
    <row r="54" spans="1:26" ht="16.5" hidden="1" customHeight="1" x14ac:dyDescent="0.3">
      <c r="A54" s="161"/>
      <c r="B54" s="507"/>
      <c r="C54" s="493"/>
      <c r="D54" s="493"/>
      <c r="E54" s="508"/>
      <c r="F54" s="494"/>
      <c r="G54" s="494"/>
      <c r="H54" s="494"/>
      <c r="I54" s="494"/>
      <c r="J54" s="493"/>
      <c r="K54" s="490"/>
      <c r="L54" s="560"/>
      <c r="M54" s="493"/>
      <c r="N54" s="497"/>
      <c r="O54" s="489"/>
      <c r="P54" s="505"/>
      <c r="Q54" s="528"/>
      <c r="R54" s="531"/>
      <c r="S54" s="525"/>
      <c r="T54" s="525"/>
      <c r="U54" s="534"/>
      <c r="V54" s="539"/>
      <c r="W54" s="542"/>
      <c r="X54" s="542"/>
      <c r="Y54" s="545"/>
      <c r="Z54" s="543"/>
    </row>
    <row r="55" spans="1:26" ht="16.5" hidden="1" customHeight="1" x14ac:dyDescent="0.3">
      <c r="A55" s="161"/>
      <c r="B55" s="507"/>
      <c r="C55" s="493"/>
      <c r="D55" s="493"/>
      <c r="E55" s="508"/>
      <c r="F55" s="494"/>
      <c r="G55" s="494"/>
      <c r="H55" s="494"/>
      <c r="I55" s="494"/>
      <c r="J55" s="493"/>
      <c r="K55" s="490"/>
      <c r="L55" s="560"/>
      <c r="M55" s="493"/>
      <c r="N55" s="497"/>
      <c r="O55" s="489"/>
      <c r="P55" s="505"/>
      <c r="Q55" s="528"/>
      <c r="R55" s="531"/>
      <c r="S55" s="525"/>
      <c r="T55" s="525"/>
      <c r="U55" s="534"/>
      <c r="V55" s="539"/>
      <c r="W55" s="542"/>
      <c r="X55" s="542"/>
      <c r="Y55" s="545"/>
      <c r="Z55" s="543"/>
    </row>
    <row r="56" spans="1:26" ht="16.5" hidden="1" customHeight="1" x14ac:dyDescent="0.3">
      <c r="A56" s="161"/>
      <c r="B56" s="507"/>
      <c r="C56" s="493"/>
      <c r="D56" s="493"/>
      <c r="E56" s="508"/>
      <c r="F56" s="494"/>
      <c r="G56" s="494"/>
      <c r="H56" s="494"/>
      <c r="I56" s="494"/>
      <c r="J56" s="493"/>
      <c r="K56" s="490"/>
      <c r="L56" s="560"/>
      <c r="M56" s="493"/>
      <c r="N56" s="497"/>
      <c r="O56" s="489"/>
      <c r="P56" s="506"/>
      <c r="Q56" s="528"/>
      <c r="R56" s="531"/>
      <c r="S56" s="525"/>
      <c r="T56" s="525"/>
      <c r="U56" s="534"/>
      <c r="V56" s="539"/>
      <c r="W56" s="542"/>
      <c r="X56" s="542"/>
      <c r="Y56" s="545"/>
      <c r="Z56" s="543"/>
    </row>
    <row r="57" spans="1:26" ht="16.5" x14ac:dyDescent="0.3">
      <c r="A57" s="161"/>
      <c r="B57" s="507"/>
      <c r="C57" s="493"/>
      <c r="D57" s="493"/>
      <c r="E57" s="508"/>
      <c r="F57" s="494"/>
      <c r="G57" s="494"/>
      <c r="H57" s="494"/>
      <c r="I57" s="494"/>
      <c r="J57" s="493"/>
      <c r="K57" s="490"/>
      <c r="L57" s="560"/>
      <c r="M57" s="493"/>
      <c r="N57" s="497"/>
      <c r="O57" s="489"/>
      <c r="P57" s="504"/>
      <c r="Q57" s="528"/>
      <c r="R57" s="531"/>
      <c r="S57" s="525"/>
      <c r="T57" s="525"/>
      <c r="U57" s="534"/>
      <c r="V57" s="539"/>
      <c r="W57" s="542"/>
      <c r="X57" s="542"/>
      <c r="Y57" s="545"/>
      <c r="Z57" s="543"/>
    </row>
    <row r="58" spans="1:26" ht="0.75" customHeight="1" x14ac:dyDescent="0.3">
      <c r="A58" s="161"/>
      <c r="B58" s="507"/>
      <c r="C58" s="493"/>
      <c r="D58" s="493"/>
      <c r="E58" s="508"/>
      <c r="F58" s="494"/>
      <c r="G58" s="494"/>
      <c r="H58" s="494"/>
      <c r="I58" s="494"/>
      <c r="J58" s="493"/>
      <c r="K58" s="490"/>
      <c r="L58" s="560"/>
      <c r="M58" s="493"/>
      <c r="N58" s="497"/>
      <c r="O58" s="489"/>
      <c r="P58" s="505"/>
      <c r="Q58" s="528"/>
      <c r="R58" s="531"/>
      <c r="S58" s="525"/>
      <c r="T58" s="525"/>
      <c r="U58" s="534"/>
      <c r="V58" s="539"/>
      <c r="W58" s="542"/>
      <c r="X58" s="542"/>
      <c r="Y58" s="545"/>
      <c r="Z58" s="543"/>
    </row>
    <row r="59" spans="1:26" ht="16.5" hidden="1" customHeight="1" x14ac:dyDescent="0.3">
      <c r="A59" s="161"/>
      <c r="B59" s="507"/>
      <c r="C59" s="493"/>
      <c r="D59" s="493"/>
      <c r="E59" s="508"/>
      <c r="F59" s="494"/>
      <c r="G59" s="494"/>
      <c r="H59" s="494"/>
      <c r="I59" s="494"/>
      <c r="J59" s="493"/>
      <c r="K59" s="490"/>
      <c r="L59" s="560"/>
      <c r="M59" s="493"/>
      <c r="N59" s="497"/>
      <c r="O59" s="489"/>
      <c r="P59" s="505"/>
      <c r="Q59" s="528"/>
      <c r="R59" s="531"/>
      <c r="S59" s="525"/>
      <c r="T59" s="525"/>
      <c r="U59" s="534"/>
      <c r="V59" s="539"/>
      <c r="W59" s="542"/>
      <c r="X59" s="542"/>
      <c r="Y59" s="545"/>
      <c r="Z59" s="543"/>
    </row>
    <row r="60" spans="1:26" ht="16.5" hidden="1" customHeight="1" x14ac:dyDescent="0.3">
      <c r="A60" s="161"/>
      <c r="B60" s="507"/>
      <c r="C60" s="493"/>
      <c r="D60" s="493"/>
      <c r="E60" s="508"/>
      <c r="F60" s="494"/>
      <c r="G60" s="494"/>
      <c r="H60" s="494"/>
      <c r="I60" s="494"/>
      <c r="J60" s="493"/>
      <c r="K60" s="490"/>
      <c r="L60" s="560"/>
      <c r="M60" s="493"/>
      <c r="N60" s="497"/>
      <c r="O60" s="489"/>
      <c r="P60" s="505"/>
      <c r="Q60" s="528"/>
      <c r="R60" s="531"/>
      <c r="S60" s="525"/>
      <c r="T60" s="525"/>
      <c r="U60" s="534"/>
      <c r="V60" s="539"/>
      <c r="W60" s="542"/>
      <c r="X60" s="542"/>
      <c r="Y60" s="545"/>
      <c r="Z60" s="543"/>
    </row>
    <row r="61" spans="1:26" ht="16.5" hidden="1" customHeight="1" x14ac:dyDescent="0.3">
      <c r="A61" s="161"/>
      <c r="B61" s="507"/>
      <c r="C61" s="493"/>
      <c r="D61" s="493"/>
      <c r="E61" s="508"/>
      <c r="F61" s="494"/>
      <c r="G61" s="494"/>
      <c r="H61" s="494"/>
      <c r="I61" s="494"/>
      <c r="J61" s="493"/>
      <c r="K61" s="490"/>
      <c r="L61" s="560"/>
      <c r="M61" s="493"/>
      <c r="N61" s="497"/>
      <c r="O61" s="489"/>
      <c r="P61" s="506"/>
      <c r="Q61" s="528"/>
      <c r="R61" s="531"/>
      <c r="S61" s="525"/>
      <c r="T61" s="525"/>
      <c r="U61" s="534"/>
      <c r="V61" s="539"/>
      <c r="W61" s="542"/>
      <c r="X61" s="542"/>
      <c r="Y61" s="545"/>
      <c r="Z61" s="543"/>
    </row>
    <row r="62" spans="1:26" ht="33.75" hidden="1" customHeight="1" x14ac:dyDescent="0.3">
      <c r="A62" s="161"/>
      <c r="B62" s="507"/>
      <c r="C62" s="493"/>
      <c r="D62" s="493"/>
      <c r="E62" s="508"/>
      <c r="F62" s="494"/>
      <c r="G62" s="494"/>
      <c r="H62" s="494"/>
      <c r="I62" s="494"/>
      <c r="J62" s="493"/>
      <c r="K62" s="490"/>
      <c r="L62" s="560"/>
      <c r="M62" s="493"/>
      <c r="N62" s="497"/>
      <c r="O62" s="489"/>
      <c r="P62" s="504"/>
      <c r="Q62" s="528"/>
      <c r="R62" s="531"/>
      <c r="S62" s="525"/>
      <c r="T62" s="525"/>
      <c r="U62" s="534"/>
      <c r="V62" s="539"/>
      <c r="W62" s="542"/>
      <c r="X62" s="542"/>
      <c r="Y62" s="545"/>
      <c r="Z62" s="543"/>
    </row>
    <row r="63" spans="1:26" ht="19.5" customHeight="1" x14ac:dyDescent="0.3">
      <c r="A63" s="161"/>
      <c r="B63" s="507"/>
      <c r="C63" s="493"/>
      <c r="D63" s="493"/>
      <c r="E63" s="508"/>
      <c r="F63" s="494"/>
      <c r="G63" s="494"/>
      <c r="H63" s="494"/>
      <c r="I63" s="494"/>
      <c r="J63" s="493"/>
      <c r="K63" s="490"/>
      <c r="L63" s="560"/>
      <c r="M63" s="493"/>
      <c r="N63" s="497"/>
      <c r="O63" s="489"/>
      <c r="P63" s="505"/>
      <c r="Q63" s="528"/>
      <c r="R63" s="531"/>
      <c r="S63" s="525"/>
      <c r="T63" s="525"/>
      <c r="U63" s="534"/>
      <c r="V63" s="539"/>
      <c r="W63" s="542"/>
      <c r="X63" s="542"/>
      <c r="Y63" s="545"/>
      <c r="Z63" s="543"/>
    </row>
    <row r="64" spans="1:26" ht="3.75" customHeight="1" x14ac:dyDescent="0.3">
      <c r="A64" s="161"/>
      <c r="B64" s="507"/>
      <c r="C64" s="493"/>
      <c r="D64" s="493"/>
      <c r="E64" s="508"/>
      <c r="F64" s="494"/>
      <c r="G64" s="494"/>
      <c r="H64" s="494"/>
      <c r="I64" s="494"/>
      <c r="J64" s="493"/>
      <c r="K64" s="490"/>
      <c r="L64" s="560"/>
      <c r="M64" s="493"/>
      <c r="N64" s="497"/>
      <c r="O64" s="489"/>
      <c r="P64" s="505"/>
      <c r="Q64" s="528"/>
      <c r="R64" s="531"/>
      <c r="S64" s="525"/>
      <c r="T64" s="525"/>
      <c r="U64" s="534"/>
      <c r="V64" s="539"/>
      <c r="W64" s="542"/>
      <c r="X64" s="542"/>
      <c r="Y64" s="546"/>
      <c r="Z64" s="543"/>
    </row>
    <row r="65" spans="1:21" ht="16.5" hidden="1" customHeight="1" x14ac:dyDescent="0.3">
      <c r="A65" s="161"/>
      <c r="B65" s="507"/>
      <c r="C65" s="493"/>
      <c r="D65" s="493"/>
      <c r="E65" s="508"/>
      <c r="F65" s="494"/>
      <c r="G65" s="494"/>
      <c r="H65" s="494"/>
      <c r="I65" s="494"/>
      <c r="J65" s="493"/>
      <c r="K65" s="490"/>
      <c r="L65" s="560"/>
      <c r="M65" s="493"/>
      <c r="N65" s="497"/>
      <c r="O65" s="489"/>
      <c r="P65" s="505"/>
      <c r="Q65" s="528"/>
      <c r="R65" s="531"/>
      <c r="S65" s="525"/>
      <c r="T65" s="525"/>
      <c r="U65" s="534"/>
    </row>
    <row r="66" spans="1:21" ht="16.5" hidden="1" customHeight="1" x14ac:dyDescent="0.3">
      <c r="A66" s="161"/>
      <c r="B66" s="507"/>
      <c r="C66" s="493"/>
      <c r="D66" s="493"/>
      <c r="E66" s="508"/>
      <c r="F66" s="494"/>
      <c r="G66" s="494"/>
      <c r="H66" s="494"/>
      <c r="I66" s="494"/>
      <c r="J66" s="493"/>
      <c r="K66" s="490"/>
      <c r="L66" s="560"/>
      <c r="M66" s="495"/>
      <c r="N66" s="497"/>
      <c r="O66" s="489"/>
      <c r="P66" s="506"/>
      <c r="Q66" s="529"/>
      <c r="R66" s="532"/>
      <c r="S66" s="526"/>
      <c r="T66" s="526"/>
      <c r="U66" s="535"/>
    </row>
    <row r="67" spans="1:21" ht="16.5" x14ac:dyDescent="0.3">
      <c r="A67" s="161"/>
      <c r="B67" s="503" t="s">
        <v>53</v>
      </c>
      <c r="C67" s="503"/>
      <c r="D67" s="503"/>
      <c r="E67" s="503"/>
      <c r="F67" s="503"/>
      <c r="G67" s="503"/>
      <c r="H67" s="503"/>
      <c r="I67" s="503"/>
      <c r="J67" s="503"/>
      <c r="K67" s="503"/>
      <c r="L67" s="503"/>
      <c r="M67" s="503"/>
      <c r="N67" s="503"/>
      <c r="O67" s="503"/>
      <c r="P67" s="503"/>
      <c r="Q67" s="174">
        <f>R67+S67+T67</f>
        <v>1191844346</v>
      </c>
      <c r="R67" s="175">
        <f>SUM(R36+R32+R27+R20+R19+R18+R18+R12+R11)</f>
        <v>876844346</v>
      </c>
      <c r="S67" s="175">
        <f>SUBTOTAL(9,S57:S66)</f>
        <v>0</v>
      </c>
      <c r="T67" s="175">
        <f>T32+T27+T20+T19+T18+T12+T11</f>
        <v>315000000</v>
      </c>
      <c r="U67" s="175">
        <f>U32+U27+U20+U19+U18</f>
        <v>986658537</v>
      </c>
    </row>
    <row r="68" spans="1:21" x14ac:dyDescent="0.25">
      <c r="B68" s="562" t="s">
        <v>487</v>
      </c>
      <c r="C68" s="562"/>
      <c r="D68" s="562"/>
      <c r="E68" s="562"/>
      <c r="F68" s="562"/>
      <c r="G68" s="562"/>
      <c r="H68" s="562"/>
      <c r="I68" s="562"/>
      <c r="J68" s="562"/>
      <c r="K68" s="562"/>
      <c r="L68" s="562"/>
      <c r="M68" s="562"/>
      <c r="N68" s="562"/>
      <c r="O68" s="562"/>
      <c r="P68" s="562"/>
      <c r="Q68" s="562"/>
      <c r="R68" s="562"/>
      <c r="S68" s="562"/>
      <c r="T68" s="562"/>
      <c r="U68" s="562"/>
    </row>
    <row r="71" spans="1:21" ht="15.75" x14ac:dyDescent="0.25">
      <c r="C71" s="561"/>
      <c r="D71" s="561"/>
      <c r="E71" s="561"/>
      <c r="F71" s="561"/>
      <c r="G71" s="561"/>
      <c r="H71" s="561"/>
      <c r="I71" s="561"/>
      <c r="J71" s="561"/>
      <c r="K71" s="561"/>
      <c r="L71" s="561"/>
      <c r="M71" s="561"/>
    </row>
  </sheetData>
  <mergeCells count="123">
    <mergeCell ref="B1:U1"/>
    <mergeCell ref="B2:U2"/>
    <mergeCell ref="B16:J16"/>
    <mergeCell ref="L16:P16"/>
    <mergeCell ref="Q16:T16"/>
    <mergeCell ref="U16:U17"/>
    <mergeCell ref="N3:U3"/>
    <mergeCell ref="R4:U4"/>
    <mergeCell ref="B6:U6"/>
    <mergeCell ref="B7:U7"/>
    <mergeCell ref="B8:U8"/>
    <mergeCell ref="B9:J9"/>
    <mergeCell ref="L9:P9"/>
    <mergeCell ref="Q9:T9"/>
    <mergeCell ref="U9:U10"/>
    <mergeCell ref="B11:B12"/>
    <mergeCell ref="K11:K12"/>
    <mergeCell ref="B13:U13"/>
    <mergeCell ref="B14:U14"/>
    <mergeCell ref="B15:U15"/>
    <mergeCell ref="C71:M71"/>
    <mergeCell ref="Q20:Q21"/>
    <mergeCell ref="R20:R21"/>
    <mergeCell ref="B27:B66"/>
    <mergeCell ref="C27:C28"/>
    <mergeCell ref="D27:D28"/>
    <mergeCell ref="E27:E28"/>
    <mergeCell ref="F27:F28"/>
    <mergeCell ref="B68:U68"/>
    <mergeCell ref="H27:H28"/>
    <mergeCell ref="I27:I28"/>
    <mergeCell ref="S20:S21"/>
    <mergeCell ref="T20:T21"/>
    <mergeCell ref="S27:S31"/>
    <mergeCell ref="B67:P67"/>
    <mergeCell ref="S32:S66"/>
    <mergeCell ref="T32:T66"/>
    <mergeCell ref="U32:U66"/>
    <mergeCell ref="N36:N66"/>
    <mergeCell ref="C32:C66"/>
    <mergeCell ref="D32:D66"/>
    <mergeCell ref="E32:E66"/>
    <mergeCell ref="J32:J66"/>
    <mergeCell ref="K32:K66"/>
    <mergeCell ref="B18:B19"/>
    <mergeCell ref="B20:B21"/>
    <mergeCell ref="L20:L21"/>
    <mergeCell ref="M20:M21"/>
    <mergeCell ref="N20:N21"/>
    <mergeCell ref="O20:O21"/>
    <mergeCell ref="P20:P21"/>
    <mergeCell ref="N27:N28"/>
    <mergeCell ref="O27:O28"/>
    <mergeCell ref="B22:U22"/>
    <mergeCell ref="B23:U23"/>
    <mergeCell ref="U20:U21"/>
    <mergeCell ref="T27:T31"/>
    <mergeCell ref="U27:U31"/>
    <mergeCell ref="R27:R31"/>
    <mergeCell ref="G29:G30"/>
    <mergeCell ref="H29:H30"/>
    <mergeCell ref="J27:J28"/>
    <mergeCell ref="K27:K28"/>
    <mergeCell ref="B24:U24"/>
    <mergeCell ref="B25:J25"/>
    <mergeCell ref="L25:P25"/>
    <mergeCell ref="Q25:T25"/>
    <mergeCell ref="U25:U26"/>
    <mergeCell ref="L32:L66"/>
    <mergeCell ref="M27:M31"/>
    <mergeCell ref="K29:K30"/>
    <mergeCell ref="C29:C30"/>
    <mergeCell ref="G27:G28"/>
    <mergeCell ref="D29:D30"/>
    <mergeCell ref="E29:E30"/>
    <mergeCell ref="F29:F30"/>
    <mergeCell ref="G32:G66"/>
    <mergeCell ref="H32:H66"/>
    <mergeCell ref="I32:I66"/>
    <mergeCell ref="I29:I30"/>
    <mergeCell ref="J29:J30"/>
    <mergeCell ref="L27:L31"/>
    <mergeCell ref="F32:F66"/>
    <mergeCell ref="M32:M66"/>
    <mergeCell ref="W8:Y8"/>
    <mergeCell ref="W20:W21"/>
    <mergeCell ref="X20:X21"/>
    <mergeCell ref="Y20:Y21"/>
    <mergeCell ref="W27:W28"/>
    <mergeCell ref="W29:W30"/>
    <mergeCell ref="X27:X31"/>
    <mergeCell ref="V13:Y17"/>
    <mergeCell ref="V22:Y26"/>
    <mergeCell ref="V20:V21"/>
    <mergeCell ref="V27:V28"/>
    <mergeCell ref="V29:V30"/>
    <mergeCell ref="Y27:Y31"/>
    <mergeCell ref="W9:X9"/>
    <mergeCell ref="Y9:Y10"/>
    <mergeCell ref="V32:V34"/>
    <mergeCell ref="V36:V64"/>
    <mergeCell ref="Z20:Z21"/>
    <mergeCell ref="W32:W34"/>
    <mergeCell ref="W36:W64"/>
    <mergeCell ref="X32:X64"/>
    <mergeCell ref="Z27:Z31"/>
    <mergeCell ref="Z32:Z64"/>
    <mergeCell ref="Y32:Y64"/>
    <mergeCell ref="Q32:Q66"/>
    <mergeCell ref="R32:R66"/>
    <mergeCell ref="P27:P31"/>
    <mergeCell ref="Q27:Q31"/>
    <mergeCell ref="N29:N30"/>
    <mergeCell ref="O29:O30"/>
    <mergeCell ref="O36:O66"/>
    <mergeCell ref="P42:P46"/>
    <mergeCell ref="P47:P51"/>
    <mergeCell ref="P52:P56"/>
    <mergeCell ref="P57:P61"/>
    <mergeCell ref="P62:P66"/>
    <mergeCell ref="N32:N35"/>
    <mergeCell ref="O32:O35"/>
    <mergeCell ref="P32:P41"/>
  </mergeCells>
  <conditionalFormatting sqref="E11:H11">
    <cfRule type="expression" dxfId="324" priority="15" stopIfTrue="1">
      <formula>+IF((#REF!+#REF!+#REF!+#REF!+#REF!)&lt;&gt;$K11,1,0)</formula>
    </cfRule>
  </conditionalFormatting>
  <conditionalFormatting sqref="E11:H11">
    <cfRule type="expression" dxfId="323" priority="14" stopIfTrue="1">
      <formula>+IF((#REF!+#REF!+#REF!+#REF!+#REF!)&lt;&gt;$K11,1,0)</formula>
    </cfRule>
  </conditionalFormatting>
  <conditionalFormatting sqref="O11">
    <cfRule type="expression" dxfId="322" priority="13" stopIfTrue="1">
      <formula>+IF((#REF!+#REF!+#REF!+#REF!+#REF!)&lt;&gt;$K11,1,0)</formula>
    </cfRule>
  </conditionalFormatting>
  <conditionalFormatting sqref="O11">
    <cfRule type="expression" dxfId="321" priority="12" stopIfTrue="1">
      <formula>+IF((#REF!+#REF!+#REF!+#REF!+#REF!)&lt;&gt;$K11,1,0)</formula>
    </cfRule>
  </conditionalFormatting>
  <conditionalFormatting sqref="O11">
    <cfRule type="expression" dxfId="320" priority="11" stopIfTrue="1">
      <formula>+IF((#REF!+#REF!+#REF!+#REF!+#REF!)&lt;&gt;$K11,1,0)</formula>
    </cfRule>
  </conditionalFormatting>
  <conditionalFormatting sqref="E19:H19">
    <cfRule type="expression" dxfId="319" priority="10" stopIfTrue="1">
      <formula>+IF((#REF!+#REF!+#REF!+#REF!+#REF!)&lt;&gt;$K19,1,0)</formula>
    </cfRule>
  </conditionalFormatting>
  <conditionalFormatting sqref="E20:H20">
    <cfRule type="expression" dxfId="318" priority="9" stopIfTrue="1">
      <formula>+IF((#REF!+#REF!+#REF!+#REF!+#REF!)&lt;&gt;$K20,1,0)</formula>
    </cfRule>
  </conditionalFormatting>
  <conditionalFormatting sqref="O20">
    <cfRule type="expression" dxfId="317" priority="8" stopIfTrue="1">
      <formula>+IF((#REF!+#REF!+#REF!+#REF!+#REF!)&lt;&gt;$K21,1,0)</formula>
    </cfRule>
  </conditionalFormatting>
  <conditionalFormatting sqref="O18">
    <cfRule type="expression" dxfId="316" priority="7" stopIfTrue="1">
      <formula>+IF((#REF!+#REF!+#REF!+#REF!+#REF!)&lt;&gt;$K18,1,0)</formula>
    </cfRule>
  </conditionalFormatting>
  <conditionalFormatting sqref="E27:H28">
    <cfRule type="expression" dxfId="315" priority="6" stopIfTrue="1">
      <formula>+IF((#REF!+#REF!+#REF!+#REF!+#REF!)&lt;&gt;$K27,1,0)</formula>
    </cfRule>
  </conditionalFormatting>
  <conditionalFormatting sqref="E27:H28">
    <cfRule type="expression" dxfId="314" priority="5" stopIfTrue="1">
      <formula>+IF((#REF!+#REF!+#REF!+#REF!+#REF!)&lt;&gt;$K27,1,0)</formula>
    </cfRule>
  </conditionalFormatting>
  <conditionalFormatting sqref="F29:F30">
    <cfRule type="expression" dxfId="313" priority="2" stopIfTrue="1">
      <formula>+IF((#REF!+#REF!+#REF!+#REF!+#REF!)&lt;&gt;$K29,1,0)</formula>
    </cfRule>
  </conditionalFormatting>
  <conditionalFormatting sqref="F29:F30">
    <cfRule type="expression" dxfId="312" priority="1" stopIfTrue="1">
      <formula>+IF((#REF!+#REF!+#REF!+#REF!+#REF!)&lt;&gt;$K29,1,0)</formula>
    </cfRule>
  </conditionalFormatting>
  <conditionalFormatting sqref="E29:E30">
    <cfRule type="expression" dxfId="311" priority="4" stopIfTrue="1">
      <formula>+IF((#REF!+#REF!+#REF!+#REF!+#REF!)&lt;&gt;$K29,1,0)</formula>
    </cfRule>
  </conditionalFormatting>
  <conditionalFormatting sqref="E29:E30">
    <cfRule type="expression" dxfId="310" priority="3" stopIfTrue="1">
      <formula>+IF((#REF!+#REF!+#REF!+#REF!+#REF!)&lt;&gt;$K29,1,0)</formula>
    </cfRule>
  </conditionalFormatting>
  <dataValidations count="3">
    <dataValidation type="list" allowBlank="1" showInputMessage="1" showErrorMessage="1" sqref="K27:K28">
      <formula1>$H$27:$H$31</formula1>
    </dataValidation>
    <dataValidation type="list" allowBlank="1" showInputMessage="1" showErrorMessage="1" sqref="J27:J28">
      <formula1>$T$33:$T$41</formula1>
    </dataValidation>
    <dataValidation type="list" allowBlank="1" showInputMessage="1" showErrorMessage="1" sqref="P11:P12 P18:P20 J18:K21 J11:J12 K11">
      <formula1>#REF!</formula1>
    </dataValidation>
  </dataValidations>
  <pageMargins left="0.70866141732283472" right="0.70866141732283472" top="0.74803149606299213" bottom="0.74803149606299213" header="0.31496062992125984" footer="0.31496062992125984"/>
  <pageSetup paperSize="14" scale="48" fitToWidth="2" fitToHeight="2" orientation="landscape"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V41"/>
  <sheetViews>
    <sheetView zoomScale="90" zoomScaleNormal="90" workbookViewId="0">
      <selection activeCell="L22" sqref="L1:L1048576"/>
    </sheetView>
  </sheetViews>
  <sheetFormatPr baseColWidth="10" defaultColWidth="11.42578125" defaultRowHeight="14.25" x14ac:dyDescent="0.2"/>
  <cols>
    <col min="1" max="1" width="5.140625" style="90" customWidth="1"/>
    <col min="2" max="2" width="17.42578125" style="90" customWidth="1"/>
    <col min="3" max="3" width="23.42578125" style="90" customWidth="1"/>
    <col min="4" max="4" width="11.42578125" style="90"/>
    <col min="5" max="5" width="4.7109375" style="90" customWidth="1"/>
    <col min="6" max="6" width="4.85546875" style="90" customWidth="1"/>
    <col min="7" max="7" width="5.28515625" style="90" customWidth="1"/>
    <col min="8" max="8" width="5.140625" style="90" customWidth="1"/>
    <col min="9" max="9" width="9.85546875" style="90" customWidth="1"/>
    <col min="10" max="10" width="11.42578125" style="90"/>
    <col min="11" max="11" width="21.85546875" style="90" customWidth="1"/>
    <col min="12" max="12" width="5.85546875" style="90" customWidth="1"/>
    <col min="13" max="13" width="20.85546875" style="90" customWidth="1"/>
    <col min="14" max="14" width="12.42578125" style="90" bestFit="1" customWidth="1"/>
    <col min="15" max="15" width="9.140625" style="90" customWidth="1"/>
    <col min="16" max="16" width="19.28515625" style="90" customWidth="1"/>
    <col min="17" max="17" width="18.140625" style="90" customWidth="1"/>
    <col min="18" max="18" width="17.7109375" style="90" customWidth="1"/>
    <col min="19" max="19" width="14.28515625" style="90" customWidth="1"/>
    <col min="20" max="20" width="15.85546875" style="90" customWidth="1"/>
    <col min="21" max="21" width="16.7109375" style="90" customWidth="1"/>
    <col min="22" max="16384" width="11.42578125" style="90"/>
  </cols>
  <sheetData>
    <row r="2" spans="2:22" ht="15.75" x14ac:dyDescent="0.2">
      <c r="L2" s="584" t="s">
        <v>0</v>
      </c>
      <c r="M2" s="584"/>
      <c r="N2" s="584"/>
      <c r="O2" s="584"/>
      <c r="P2" s="584"/>
      <c r="Q2" s="584"/>
      <c r="R2" s="584"/>
      <c r="S2" s="584"/>
      <c r="T2" s="584"/>
      <c r="U2" s="584"/>
    </row>
    <row r="3" spans="2:22" ht="18" x14ac:dyDescent="0.2">
      <c r="L3" s="585" t="s">
        <v>170</v>
      </c>
      <c r="M3" s="585"/>
      <c r="N3" s="585"/>
      <c r="O3" s="585"/>
      <c r="P3" s="585"/>
      <c r="Q3" s="585"/>
      <c r="R3" s="585"/>
      <c r="S3" s="585"/>
      <c r="T3" s="585"/>
      <c r="U3" s="585"/>
    </row>
    <row r="4" spans="2:22" ht="18" x14ac:dyDescent="0.2">
      <c r="L4" s="41"/>
      <c r="M4" s="41"/>
      <c r="N4" s="41"/>
      <c r="O4" s="41"/>
      <c r="P4" s="41"/>
      <c r="Q4" s="41"/>
      <c r="R4" s="41"/>
      <c r="S4" s="41"/>
      <c r="T4" s="41"/>
      <c r="U4" s="41"/>
    </row>
    <row r="6" spans="2:22" ht="16.5" x14ac:dyDescent="0.2">
      <c r="B6" s="523" t="s">
        <v>23</v>
      </c>
      <c r="C6" s="523"/>
      <c r="D6" s="523"/>
      <c r="E6" s="523"/>
      <c r="F6" s="523"/>
      <c r="G6" s="523"/>
      <c r="H6" s="523"/>
      <c r="I6" s="523"/>
      <c r="J6" s="523"/>
      <c r="K6" s="523"/>
      <c r="L6" s="523"/>
      <c r="M6" s="523"/>
      <c r="N6" s="523"/>
      <c r="O6" s="523"/>
      <c r="P6" s="523"/>
      <c r="Q6" s="523"/>
      <c r="R6" s="523"/>
      <c r="S6" s="523"/>
      <c r="T6" s="523"/>
      <c r="U6" s="523"/>
    </row>
    <row r="7" spans="2:22" ht="16.5" x14ac:dyDescent="0.2">
      <c r="B7" s="523" t="s">
        <v>107</v>
      </c>
      <c r="C7" s="523"/>
      <c r="D7" s="523"/>
      <c r="E7" s="523"/>
      <c r="F7" s="523"/>
      <c r="G7" s="523"/>
      <c r="H7" s="523"/>
      <c r="I7" s="523"/>
      <c r="J7" s="523"/>
      <c r="K7" s="523"/>
      <c r="L7" s="523"/>
      <c r="M7" s="523"/>
      <c r="N7" s="523"/>
      <c r="O7" s="523"/>
      <c r="P7" s="523"/>
      <c r="Q7" s="523"/>
      <c r="R7" s="523"/>
      <c r="S7" s="523"/>
      <c r="T7" s="523"/>
      <c r="U7" s="523"/>
    </row>
    <row r="8" spans="2:22" ht="16.5" x14ac:dyDescent="0.2">
      <c r="B8" s="523" t="s">
        <v>108</v>
      </c>
      <c r="C8" s="523"/>
      <c r="D8" s="523"/>
      <c r="E8" s="523"/>
      <c r="F8" s="523"/>
      <c r="G8" s="523"/>
      <c r="H8" s="523"/>
      <c r="I8" s="523"/>
      <c r="J8" s="523"/>
      <c r="K8" s="523"/>
      <c r="L8" s="523"/>
      <c r="M8" s="523"/>
      <c r="N8" s="523"/>
      <c r="O8" s="523"/>
      <c r="P8" s="523"/>
      <c r="Q8" s="523"/>
      <c r="R8" s="523"/>
      <c r="S8" s="523"/>
      <c r="T8" s="523"/>
      <c r="U8" s="523"/>
    </row>
    <row r="9" spans="2:22" ht="10.5" customHeight="1" x14ac:dyDescent="0.2">
      <c r="B9" s="576" t="s">
        <v>3</v>
      </c>
      <c r="C9" s="576"/>
      <c r="D9" s="576"/>
      <c r="E9" s="576"/>
      <c r="F9" s="576"/>
      <c r="G9" s="576"/>
      <c r="H9" s="576"/>
      <c r="I9" s="576"/>
      <c r="J9" s="576"/>
      <c r="K9" s="84"/>
      <c r="L9" s="517" t="s">
        <v>72</v>
      </c>
      <c r="M9" s="517"/>
      <c r="N9" s="517"/>
      <c r="O9" s="517"/>
      <c r="P9" s="517"/>
      <c r="Q9" s="511" t="s">
        <v>4</v>
      </c>
      <c r="R9" s="511"/>
      <c r="S9" s="511"/>
      <c r="T9" s="511"/>
      <c r="U9" s="522" t="s">
        <v>40</v>
      </c>
    </row>
    <row r="10" spans="2:22" ht="42.75" customHeight="1" x14ac:dyDescent="0.2">
      <c r="B10" s="85" t="s">
        <v>51</v>
      </c>
      <c r="C10" s="85" t="s">
        <v>12</v>
      </c>
      <c r="D10" s="85" t="s">
        <v>52</v>
      </c>
      <c r="E10" s="85" t="s">
        <v>24</v>
      </c>
      <c r="F10" s="85" t="s">
        <v>25</v>
      </c>
      <c r="G10" s="85" t="s">
        <v>26</v>
      </c>
      <c r="H10" s="85" t="s">
        <v>27</v>
      </c>
      <c r="I10" s="85" t="s">
        <v>28</v>
      </c>
      <c r="J10" s="85" t="s">
        <v>29</v>
      </c>
      <c r="K10" s="85" t="s">
        <v>47</v>
      </c>
      <c r="L10" s="86" t="s">
        <v>14</v>
      </c>
      <c r="M10" s="86" t="s">
        <v>79</v>
      </c>
      <c r="N10" s="86" t="s">
        <v>15</v>
      </c>
      <c r="O10" s="86" t="s">
        <v>16</v>
      </c>
      <c r="P10" s="85" t="s">
        <v>48</v>
      </c>
      <c r="Q10" s="86" t="s">
        <v>17</v>
      </c>
      <c r="R10" s="86" t="s">
        <v>18</v>
      </c>
      <c r="S10" s="86" t="s">
        <v>19</v>
      </c>
      <c r="T10" s="198" t="s">
        <v>361</v>
      </c>
      <c r="U10" s="522"/>
    </row>
    <row r="11" spans="2:22" ht="66.75" customHeight="1" x14ac:dyDescent="0.2">
      <c r="B11" s="519" t="s">
        <v>109</v>
      </c>
      <c r="C11" s="55" t="s">
        <v>110</v>
      </c>
      <c r="D11" s="55" t="s">
        <v>111</v>
      </c>
      <c r="E11" s="56">
        <v>0</v>
      </c>
      <c r="F11" s="56">
        <v>0</v>
      </c>
      <c r="G11" s="56">
        <v>0</v>
      </c>
      <c r="H11" s="57">
        <v>1</v>
      </c>
      <c r="I11" s="58">
        <f>SUM(E11:H11)</f>
        <v>1</v>
      </c>
      <c r="J11" s="59" t="s">
        <v>112</v>
      </c>
      <c r="K11" s="59" t="s">
        <v>113</v>
      </c>
      <c r="L11" s="566">
        <v>1</v>
      </c>
      <c r="M11" s="502" t="s">
        <v>114</v>
      </c>
      <c r="N11" s="568" t="s">
        <v>115</v>
      </c>
      <c r="O11" s="521">
        <v>1</v>
      </c>
      <c r="P11" s="502" t="s">
        <v>116</v>
      </c>
      <c r="Q11" s="518">
        <f>R11+S11+T11</f>
        <v>42000000</v>
      </c>
      <c r="R11" s="570">
        <v>42000000</v>
      </c>
      <c r="S11" s="512">
        <v>0</v>
      </c>
      <c r="T11" s="512">
        <v>0</v>
      </c>
      <c r="U11" s="512">
        <v>0</v>
      </c>
    </row>
    <row r="12" spans="2:22" ht="49.5" customHeight="1" x14ac:dyDescent="0.2">
      <c r="B12" s="519"/>
      <c r="C12" s="55" t="s">
        <v>117</v>
      </c>
      <c r="D12" s="55" t="s">
        <v>111</v>
      </c>
      <c r="E12" s="56">
        <v>1</v>
      </c>
      <c r="F12" s="56">
        <v>0</v>
      </c>
      <c r="G12" s="56">
        <v>0</v>
      </c>
      <c r="H12" s="57">
        <v>0</v>
      </c>
      <c r="I12" s="58">
        <v>1</v>
      </c>
      <c r="J12" s="59" t="s">
        <v>112</v>
      </c>
      <c r="K12" s="59" t="s">
        <v>113</v>
      </c>
      <c r="L12" s="567"/>
      <c r="M12" s="502"/>
      <c r="N12" s="569"/>
      <c r="O12" s="521"/>
      <c r="P12" s="502"/>
      <c r="Q12" s="518"/>
      <c r="R12" s="570"/>
      <c r="S12" s="512"/>
      <c r="T12" s="512"/>
      <c r="U12" s="512"/>
    </row>
    <row r="13" spans="2:22" ht="71.25" customHeight="1" x14ac:dyDescent="0.2">
      <c r="B13" s="519"/>
      <c r="C13" s="223" t="s">
        <v>369</v>
      </c>
      <c r="D13" s="55" t="s">
        <v>370</v>
      </c>
      <c r="E13" s="57">
        <v>0</v>
      </c>
      <c r="F13" s="57">
        <v>2</v>
      </c>
      <c r="G13" s="57">
        <v>2</v>
      </c>
      <c r="H13" s="57">
        <v>2</v>
      </c>
      <c r="I13" s="58">
        <f>SUM(E13:H13)</f>
        <v>6</v>
      </c>
      <c r="J13" s="59" t="s">
        <v>112</v>
      </c>
      <c r="K13" s="59" t="s">
        <v>113</v>
      </c>
      <c r="L13" s="206">
        <v>2</v>
      </c>
      <c r="M13" s="205" t="s">
        <v>119</v>
      </c>
      <c r="N13" s="55" t="s">
        <v>115</v>
      </c>
      <c r="O13" s="87">
        <v>2</v>
      </c>
      <c r="P13" s="59" t="s">
        <v>116</v>
      </c>
      <c r="Q13" s="181">
        <f>R13+S13+T13</f>
        <v>150000000</v>
      </c>
      <c r="R13" s="66">
        <v>150000000</v>
      </c>
      <c r="S13" s="67">
        <v>0</v>
      </c>
      <c r="T13" s="67">
        <v>0</v>
      </c>
      <c r="U13" s="67">
        <v>0</v>
      </c>
    </row>
    <row r="14" spans="2:22" ht="94.5" x14ac:dyDescent="0.2">
      <c r="B14" s="519" t="s">
        <v>120</v>
      </c>
      <c r="C14" s="582" t="s">
        <v>121</v>
      </c>
      <c r="D14" s="55" t="s">
        <v>122</v>
      </c>
      <c r="E14" s="69">
        <v>1</v>
      </c>
      <c r="F14" s="69">
        <v>1</v>
      </c>
      <c r="G14" s="69">
        <v>1</v>
      </c>
      <c r="H14" s="69">
        <v>1</v>
      </c>
      <c r="I14" s="70">
        <v>1</v>
      </c>
      <c r="J14" s="59" t="s">
        <v>112</v>
      </c>
      <c r="K14" s="59" t="s">
        <v>113</v>
      </c>
      <c r="L14" s="567">
        <v>3</v>
      </c>
      <c r="M14" s="502" t="s">
        <v>123</v>
      </c>
      <c r="N14" s="572" t="s">
        <v>124</v>
      </c>
      <c r="O14" s="565">
        <v>1</v>
      </c>
      <c r="P14" s="492" t="s">
        <v>125</v>
      </c>
      <c r="Q14" s="574">
        <f>R14+S14+T14</f>
        <v>515000000</v>
      </c>
      <c r="R14" s="570">
        <f>539000000-40000000-150000000+42000000-6000000</f>
        <v>385000000</v>
      </c>
      <c r="S14" s="512">
        <v>0</v>
      </c>
      <c r="T14" s="512">
        <f>150000000-20000000</f>
        <v>130000000</v>
      </c>
      <c r="U14" s="578">
        <f>97927501-25000000</f>
        <v>72927501</v>
      </c>
      <c r="V14" s="190"/>
    </row>
    <row r="15" spans="2:22" ht="48" customHeight="1" x14ac:dyDescent="0.2">
      <c r="B15" s="519"/>
      <c r="C15" s="583"/>
      <c r="D15" s="55" t="s">
        <v>126</v>
      </c>
      <c r="E15" s="56">
        <v>1</v>
      </c>
      <c r="F15" s="56">
        <v>0</v>
      </c>
      <c r="G15" s="56">
        <v>0</v>
      </c>
      <c r="H15" s="56">
        <v>0</v>
      </c>
      <c r="I15" s="58">
        <f t="shared" ref="I15:I25" si="0">SUM(E15:H15)</f>
        <v>1</v>
      </c>
      <c r="J15" s="59" t="s">
        <v>112</v>
      </c>
      <c r="K15" s="59" t="s">
        <v>118</v>
      </c>
      <c r="L15" s="571"/>
      <c r="M15" s="502"/>
      <c r="N15" s="572"/>
      <c r="O15" s="565"/>
      <c r="P15" s="495"/>
      <c r="Q15" s="574"/>
      <c r="R15" s="570"/>
      <c r="S15" s="512"/>
      <c r="T15" s="512"/>
      <c r="U15" s="578"/>
    </row>
    <row r="16" spans="2:22" ht="60" customHeight="1" x14ac:dyDescent="0.2">
      <c r="B16" s="519"/>
      <c r="C16" s="580" t="s">
        <v>127</v>
      </c>
      <c r="D16" s="581" t="s">
        <v>128</v>
      </c>
      <c r="E16" s="573">
        <v>1</v>
      </c>
      <c r="F16" s="573">
        <v>1</v>
      </c>
      <c r="G16" s="573">
        <v>1</v>
      </c>
      <c r="H16" s="573">
        <v>1</v>
      </c>
      <c r="I16" s="510">
        <f t="shared" si="0"/>
        <v>4</v>
      </c>
      <c r="J16" s="502" t="s">
        <v>112</v>
      </c>
      <c r="K16" s="502" t="s">
        <v>118</v>
      </c>
      <c r="L16" s="58">
        <v>4</v>
      </c>
      <c r="M16" s="72" t="s">
        <v>129</v>
      </c>
      <c r="N16" s="64" t="s">
        <v>115</v>
      </c>
      <c r="O16" s="87">
        <v>1</v>
      </c>
      <c r="P16" s="59" t="s">
        <v>116</v>
      </c>
      <c r="Q16" s="182">
        <f>R16+S16+T16</f>
        <v>371363753</v>
      </c>
      <c r="R16" s="62">
        <f>273000000-36556247+48720000+20000000+66200000</f>
        <v>371363753</v>
      </c>
      <c r="S16" s="63">
        <v>0</v>
      </c>
      <c r="T16" s="63">
        <v>0</v>
      </c>
      <c r="U16" s="62">
        <v>0</v>
      </c>
      <c r="V16" s="190"/>
    </row>
    <row r="17" spans="2:21" ht="63" customHeight="1" x14ac:dyDescent="0.2">
      <c r="B17" s="519"/>
      <c r="C17" s="580"/>
      <c r="D17" s="581"/>
      <c r="E17" s="573"/>
      <c r="F17" s="573"/>
      <c r="G17" s="573"/>
      <c r="H17" s="573"/>
      <c r="I17" s="510"/>
      <c r="J17" s="502"/>
      <c r="K17" s="502"/>
      <c r="L17" s="58">
        <v>5</v>
      </c>
      <c r="M17" s="72" t="s">
        <v>130</v>
      </c>
      <c r="N17" s="64" t="s">
        <v>115</v>
      </c>
      <c r="O17" s="87">
        <v>1</v>
      </c>
      <c r="P17" s="59" t="s">
        <v>116</v>
      </c>
      <c r="Q17" s="182">
        <f>R17+S17+T17</f>
        <v>95000000</v>
      </c>
      <c r="R17" s="62">
        <v>75000000</v>
      </c>
      <c r="S17" s="63">
        <v>0</v>
      </c>
      <c r="T17" s="63">
        <v>20000000</v>
      </c>
      <c r="U17" s="184">
        <f>19500000-9750000</f>
        <v>9750000</v>
      </c>
    </row>
    <row r="18" spans="2:21" ht="92.25" customHeight="1" x14ac:dyDescent="0.2">
      <c r="B18" s="519"/>
      <c r="C18" s="68" t="s">
        <v>131</v>
      </c>
      <c r="D18" s="55" t="s">
        <v>132</v>
      </c>
      <c r="E18" s="56">
        <v>1</v>
      </c>
      <c r="F18" s="56">
        <v>1</v>
      </c>
      <c r="G18" s="56">
        <v>1</v>
      </c>
      <c r="H18" s="56">
        <v>1</v>
      </c>
      <c r="I18" s="58">
        <f>SUM(E18:H18)</f>
        <v>4</v>
      </c>
      <c r="J18" s="59" t="s">
        <v>112</v>
      </c>
      <c r="K18" s="59" t="s">
        <v>30</v>
      </c>
      <c r="L18" s="58">
        <v>6</v>
      </c>
      <c r="M18" s="74" t="s">
        <v>133</v>
      </c>
      <c r="N18" s="75" t="s">
        <v>115</v>
      </c>
      <c r="O18" s="58">
        <v>1</v>
      </c>
      <c r="P18" s="76" t="s">
        <v>134</v>
      </c>
      <c r="Q18" s="77">
        <f>R18+S18+T18</f>
        <v>70000000</v>
      </c>
      <c r="R18" s="66">
        <v>70000000</v>
      </c>
      <c r="S18" s="63">
        <v>0</v>
      </c>
      <c r="T18" s="63">
        <v>0</v>
      </c>
      <c r="U18" s="62">
        <v>0</v>
      </c>
    </row>
    <row r="19" spans="2:21" ht="63" customHeight="1" x14ac:dyDescent="0.2">
      <c r="B19" s="519"/>
      <c r="C19" s="221" t="s">
        <v>381</v>
      </c>
      <c r="D19" s="222" t="s">
        <v>382</v>
      </c>
      <c r="E19" s="56">
        <v>0</v>
      </c>
      <c r="F19" s="56">
        <v>1</v>
      </c>
      <c r="G19" s="56">
        <v>1</v>
      </c>
      <c r="H19" s="56">
        <v>1</v>
      </c>
      <c r="I19" s="58">
        <f t="shared" si="0"/>
        <v>3</v>
      </c>
      <c r="J19" s="59" t="s">
        <v>112</v>
      </c>
      <c r="K19" s="59" t="s">
        <v>118</v>
      </c>
      <c r="L19" s="510">
        <v>7</v>
      </c>
      <c r="M19" s="490" t="s">
        <v>135</v>
      </c>
      <c r="N19" s="572" t="s">
        <v>115</v>
      </c>
      <c r="O19" s="521">
        <v>4</v>
      </c>
      <c r="P19" s="490" t="s">
        <v>134</v>
      </c>
      <c r="Q19" s="577">
        <f>R19+S19+T19</f>
        <v>50000000</v>
      </c>
      <c r="R19" s="570">
        <f>70000000-20000000</f>
        <v>50000000</v>
      </c>
      <c r="S19" s="512">
        <v>0</v>
      </c>
      <c r="T19" s="512">
        <v>0</v>
      </c>
      <c r="U19" s="579">
        <f>254877231+9750000+53050000+27000000</f>
        <v>344677231</v>
      </c>
    </row>
    <row r="20" spans="2:21" ht="60" customHeight="1" x14ac:dyDescent="0.2">
      <c r="B20" s="519"/>
      <c r="C20" s="68" t="s">
        <v>136</v>
      </c>
      <c r="D20" s="55" t="s">
        <v>137</v>
      </c>
      <c r="E20" s="56">
        <v>2</v>
      </c>
      <c r="F20" s="80">
        <v>2</v>
      </c>
      <c r="G20" s="56">
        <v>2</v>
      </c>
      <c r="H20" s="56">
        <v>2</v>
      </c>
      <c r="I20" s="58">
        <f>SUM(E20:H20)</f>
        <v>8</v>
      </c>
      <c r="J20" s="59" t="s">
        <v>112</v>
      </c>
      <c r="K20" s="59" t="s">
        <v>118</v>
      </c>
      <c r="L20" s="510"/>
      <c r="M20" s="490"/>
      <c r="N20" s="572"/>
      <c r="O20" s="521"/>
      <c r="P20" s="490"/>
      <c r="Q20" s="577"/>
      <c r="R20" s="570"/>
      <c r="S20" s="512"/>
      <c r="T20" s="512"/>
      <c r="U20" s="579"/>
    </row>
    <row r="21" spans="2:21" ht="51" customHeight="1" x14ac:dyDescent="0.2">
      <c r="B21" s="519"/>
      <c r="C21" s="78" t="s">
        <v>138</v>
      </c>
      <c r="D21" s="79" t="s">
        <v>139</v>
      </c>
      <c r="E21" s="56">
        <v>0</v>
      </c>
      <c r="F21" s="56">
        <v>1</v>
      </c>
      <c r="G21" s="56">
        <v>1</v>
      </c>
      <c r="H21" s="56">
        <v>1</v>
      </c>
      <c r="I21" s="58">
        <v>3</v>
      </c>
      <c r="J21" s="59" t="s">
        <v>112</v>
      </c>
      <c r="K21" s="59" t="s">
        <v>118</v>
      </c>
      <c r="L21" s="510"/>
      <c r="M21" s="490"/>
      <c r="N21" s="572"/>
      <c r="O21" s="521"/>
      <c r="P21" s="490"/>
      <c r="Q21" s="577"/>
      <c r="R21" s="570"/>
      <c r="S21" s="512"/>
      <c r="T21" s="512"/>
      <c r="U21" s="579"/>
    </row>
    <row r="22" spans="2:21" ht="52.5" customHeight="1" x14ac:dyDescent="0.2">
      <c r="B22" s="519" t="s">
        <v>140</v>
      </c>
      <c r="C22" s="305" t="s">
        <v>141</v>
      </c>
      <c r="D22" s="55" t="s">
        <v>142</v>
      </c>
      <c r="E22" s="306">
        <v>0</v>
      </c>
      <c r="F22" s="56">
        <v>2</v>
      </c>
      <c r="G22" s="56">
        <v>2</v>
      </c>
      <c r="H22" s="56">
        <v>2</v>
      </c>
      <c r="I22" s="58">
        <f t="shared" si="0"/>
        <v>6</v>
      </c>
      <c r="J22" s="59" t="s">
        <v>112</v>
      </c>
      <c r="K22" s="59" t="s">
        <v>118</v>
      </c>
      <c r="L22" s="510">
        <v>8</v>
      </c>
      <c r="M22" s="502" t="s">
        <v>143</v>
      </c>
      <c r="N22" s="55" t="s">
        <v>144</v>
      </c>
      <c r="O22" s="58">
        <v>2</v>
      </c>
      <c r="P22" s="59" t="s">
        <v>116</v>
      </c>
      <c r="Q22" s="574">
        <f>R22+S22+T22</f>
        <v>753280000</v>
      </c>
      <c r="R22" s="570">
        <f>760000000-150000000-6720000</f>
        <v>603280000</v>
      </c>
      <c r="S22" s="575">
        <v>0</v>
      </c>
      <c r="T22" s="575">
        <v>150000000</v>
      </c>
      <c r="U22" s="578">
        <v>25000000</v>
      </c>
    </row>
    <row r="23" spans="2:21" ht="60" customHeight="1" x14ac:dyDescent="0.2">
      <c r="B23" s="519"/>
      <c r="C23" s="55" t="s">
        <v>145</v>
      </c>
      <c r="D23" s="55" t="s">
        <v>146</v>
      </c>
      <c r="E23" s="61">
        <v>1</v>
      </c>
      <c r="F23" s="61">
        <v>1</v>
      </c>
      <c r="G23" s="61">
        <v>1</v>
      </c>
      <c r="H23" s="61">
        <v>1</v>
      </c>
      <c r="I23" s="58">
        <f>SUM(E23:H23)</f>
        <v>4</v>
      </c>
      <c r="J23" s="59" t="s">
        <v>112</v>
      </c>
      <c r="K23" s="59" t="s">
        <v>118</v>
      </c>
      <c r="L23" s="510"/>
      <c r="M23" s="502"/>
      <c r="N23" s="55" t="s">
        <v>115</v>
      </c>
      <c r="O23" s="58">
        <v>1</v>
      </c>
      <c r="P23" s="59" t="s">
        <v>116</v>
      </c>
      <c r="Q23" s="574"/>
      <c r="R23" s="570"/>
      <c r="S23" s="575"/>
      <c r="T23" s="575"/>
      <c r="U23" s="578"/>
    </row>
    <row r="24" spans="2:21" ht="47.25" customHeight="1" x14ac:dyDescent="0.2">
      <c r="B24" s="519"/>
      <c r="C24" s="55" t="s">
        <v>147</v>
      </c>
      <c r="D24" s="55" t="s">
        <v>148</v>
      </c>
      <c r="E24" s="61">
        <v>2</v>
      </c>
      <c r="F24" s="61">
        <v>2</v>
      </c>
      <c r="G24" s="61">
        <v>2</v>
      </c>
      <c r="H24" s="61">
        <v>2</v>
      </c>
      <c r="I24" s="58">
        <f>SUM(E24:H24)</f>
        <v>8</v>
      </c>
      <c r="J24" s="59" t="s">
        <v>112</v>
      </c>
      <c r="K24" s="59" t="s">
        <v>118</v>
      </c>
      <c r="L24" s="510"/>
      <c r="M24" s="502"/>
      <c r="N24" s="55" t="s">
        <v>149</v>
      </c>
      <c r="O24" s="58">
        <v>2</v>
      </c>
      <c r="P24" s="59" t="s">
        <v>116</v>
      </c>
      <c r="Q24" s="574"/>
      <c r="R24" s="570"/>
      <c r="S24" s="575"/>
      <c r="T24" s="575"/>
      <c r="U24" s="578"/>
    </row>
    <row r="25" spans="2:21" ht="50.25" customHeight="1" x14ac:dyDescent="0.2">
      <c r="B25" s="519"/>
      <c r="C25" s="305" t="s">
        <v>150</v>
      </c>
      <c r="D25" s="305" t="s">
        <v>150</v>
      </c>
      <c r="E25" s="303">
        <v>0</v>
      </c>
      <c r="F25" s="61">
        <v>3</v>
      </c>
      <c r="G25" s="61">
        <v>4</v>
      </c>
      <c r="H25" s="61">
        <v>3</v>
      </c>
      <c r="I25" s="58">
        <f t="shared" si="0"/>
        <v>10</v>
      </c>
      <c r="J25" s="59" t="s">
        <v>112</v>
      </c>
      <c r="K25" s="59" t="s">
        <v>118</v>
      </c>
      <c r="L25" s="510"/>
      <c r="M25" s="502"/>
      <c r="N25" s="55" t="s">
        <v>150</v>
      </c>
      <c r="O25" s="87">
        <v>3</v>
      </c>
      <c r="P25" s="59" t="s">
        <v>116</v>
      </c>
      <c r="Q25" s="574"/>
      <c r="R25" s="570"/>
      <c r="S25" s="575"/>
      <c r="T25" s="575"/>
      <c r="U25" s="578"/>
    </row>
    <row r="26" spans="2:21" ht="69.75" customHeight="1" x14ac:dyDescent="0.2">
      <c r="B26" s="519"/>
      <c r="C26" s="55" t="s">
        <v>151</v>
      </c>
      <c r="D26" s="55" t="s">
        <v>152</v>
      </c>
      <c r="E26" s="56">
        <v>0</v>
      </c>
      <c r="F26" s="56">
        <v>1</v>
      </c>
      <c r="G26" s="56">
        <v>1</v>
      </c>
      <c r="H26" s="56">
        <v>1</v>
      </c>
      <c r="I26" s="58">
        <v>3</v>
      </c>
      <c r="J26" s="59" t="s">
        <v>112</v>
      </c>
      <c r="K26" s="59" t="s">
        <v>118</v>
      </c>
      <c r="L26" s="58">
        <v>9</v>
      </c>
      <c r="M26" s="60" t="s">
        <v>153</v>
      </c>
      <c r="N26" s="76" t="s">
        <v>115</v>
      </c>
      <c r="O26" s="87">
        <v>1</v>
      </c>
      <c r="P26" s="59" t="s">
        <v>116</v>
      </c>
      <c r="Q26" s="181">
        <f>R26+S26+T26</f>
        <v>0</v>
      </c>
      <c r="R26" s="62">
        <f>42000000+6720000-48720000</f>
        <v>0</v>
      </c>
      <c r="S26" s="81">
        <v>0</v>
      </c>
      <c r="T26" s="81">
        <v>0</v>
      </c>
      <c r="U26" s="63">
        <v>0</v>
      </c>
    </row>
    <row r="27" spans="2:21" ht="16.5" x14ac:dyDescent="0.2">
      <c r="B27" s="523" t="s">
        <v>154</v>
      </c>
      <c r="C27" s="523"/>
      <c r="D27" s="523"/>
      <c r="E27" s="523"/>
      <c r="F27" s="523"/>
      <c r="G27" s="523"/>
      <c r="H27" s="523"/>
      <c r="I27" s="523"/>
      <c r="J27" s="523"/>
      <c r="K27" s="523"/>
      <c r="L27" s="523"/>
      <c r="M27" s="523"/>
      <c r="N27" s="523"/>
      <c r="O27" s="523"/>
      <c r="P27" s="523"/>
      <c r="Q27" s="523"/>
      <c r="R27" s="523"/>
      <c r="S27" s="523"/>
      <c r="T27" s="523"/>
      <c r="U27" s="523"/>
    </row>
    <row r="28" spans="2:21" ht="16.5" x14ac:dyDescent="0.2">
      <c r="B28" s="523" t="s">
        <v>155</v>
      </c>
      <c r="C28" s="523"/>
      <c r="D28" s="523"/>
      <c r="E28" s="523"/>
      <c r="F28" s="523"/>
      <c r="G28" s="523"/>
      <c r="H28" s="523"/>
      <c r="I28" s="523"/>
      <c r="J28" s="523"/>
      <c r="K28" s="523"/>
      <c r="L28" s="523"/>
      <c r="M28" s="523"/>
      <c r="N28" s="523"/>
      <c r="O28" s="523"/>
      <c r="P28" s="523"/>
      <c r="Q28" s="523"/>
      <c r="R28" s="523"/>
      <c r="S28" s="523"/>
      <c r="T28" s="523"/>
      <c r="U28" s="523"/>
    </row>
    <row r="29" spans="2:21" x14ac:dyDescent="0.2">
      <c r="B29" s="517" t="s">
        <v>3</v>
      </c>
      <c r="C29" s="517"/>
      <c r="D29" s="517"/>
      <c r="E29" s="517"/>
      <c r="F29" s="517"/>
      <c r="G29" s="517"/>
      <c r="H29" s="517"/>
      <c r="I29" s="517"/>
      <c r="J29" s="517"/>
      <c r="K29" s="84"/>
      <c r="L29" s="517" t="s">
        <v>72</v>
      </c>
      <c r="M29" s="517"/>
      <c r="N29" s="517"/>
      <c r="O29" s="517"/>
      <c r="P29" s="517"/>
      <c r="Q29" s="511" t="s">
        <v>4</v>
      </c>
      <c r="R29" s="511"/>
      <c r="S29" s="511"/>
      <c r="T29" s="511"/>
      <c r="U29" s="522" t="s">
        <v>40</v>
      </c>
    </row>
    <row r="30" spans="2:21" ht="43.5" customHeight="1" x14ac:dyDescent="0.2">
      <c r="B30" s="85" t="s">
        <v>51</v>
      </c>
      <c r="C30" s="85" t="s">
        <v>12</v>
      </c>
      <c r="D30" s="85" t="s">
        <v>52</v>
      </c>
      <c r="E30" s="85" t="s">
        <v>24</v>
      </c>
      <c r="F30" s="85" t="s">
        <v>25</v>
      </c>
      <c r="G30" s="85" t="s">
        <v>26</v>
      </c>
      <c r="H30" s="85" t="s">
        <v>27</v>
      </c>
      <c r="I30" s="85" t="s">
        <v>28</v>
      </c>
      <c r="J30" s="85" t="s">
        <v>29</v>
      </c>
      <c r="K30" s="85" t="s">
        <v>47</v>
      </c>
      <c r="L30" s="86" t="s">
        <v>14</v>
      </c>
      <c r="M30" s="86" t="s">
        <v>31</v>
      </c>
      <c r="N30" s="86" t="s">
        <v>15</v>
      </c>
      <c r="O30" s="86" t="s">
        <v>16</v>
      </c>
      <c r="P30" s="85" t="s">
        <v>48</v>
      </c>
      <c r="Q30" s="86" t="s">
        <v>17</v>
      </c>
      <c r="R30" s="86" t="s">
        <v>18</v>
      </c>
      <c r="S30" s="86" t="s">
        <v>19</v>
      </c>
      <c r="T30" s="199" t="s">
        <v>361</v>
      </c>
      <c r="U30" s="522"/>
    </row>
    <row r="31" spans="2:21" ht="57.75" customHeight="1" x14ac:dyDescent="0.2">
      <c r="B31" s="519" t="s">
        <v>156</v>
      </c>
      <c r="C31" s="59" t="s">
        <v>157</v>
      </c>
      <c r="D31" s="59" t="s">
        <v>158</v>
      </c>
      <c r="E31" s="57">
        <v>5</v>
      </c>
      <c r="F31" s="57">
        <v>5</v>
      </c>
      <c r="G31" s="57">
        <v>5</v>
      </c>
      <c r="H31" s="57">
        <v>5</v>
      </c>
      <c r="I31" s="58">
        <f>SUM(E31:H31)</f>
        <v>20</v>
      </c>
      <c r="J31" s="59" t="s">
        <v>112</v>
      </c>
      <c r="K31" s="59" t="s">
        <v>118</v>
      </c>
      <c r="L31" s="566">
        <v>10</v>
      </c>
      <c r="M31" s="502" t="s">
        <v>159</v>
      </c>
      <c r="N31" s="59" t="s">
        <v>158</v>
      </c>
      <c r="O31" s="57">
        <v>5</v>
      </c>
      <c r="P31" s="59" t="s">
        <v>160</v>
      </c>
      <c r="Q31" s="588">
        <v>503000000</v>
      </c>
      <c r="R31" s="590">
        <f>503000000-42000000+6000000-66200000</f>
        <v>400800000</v>
      </c>
      <c r="S31" s="590">
        <v>0</v>
      </c>
      <c r="T31" s="590">
        <v>0</v>
      </c>
      <c r="U31" s="586">
        <v>0</v>
      </c>
    </row>
    <row r="32" spans="2:21" ht="66.75" customHeight="1" x14ac:dyDescent="0.2">
      <c r="B32" s="519"/>
      <c r="C32" s="59" t="s">
        <v>161</v>
      </c>
      <c r="D32" s="59" t="s">
        <v>162</v>
      </c>
      <c r="E32" s="57">
        <v>5</v>
      </c>
      <c r="F32" s="57">
        <v>5</v>
      </c>
      <c r="G32" s="57">
        <v>5</v>
      </c>
      <c r="H32" s="57">
        <v>5</v>
      </c>
      <c r="I32" s="58">
        <f>SUM(E32:H32)</f>
        <v>20</v>
      </c>
      <c r="J32" s="59" t="s">
        <v>112</v>
      </c>
      <c r="K32" s="59" t="s">
        <v>118</v>
      </c>
      <c r="L32" s="571"/>
      <c r="M32" s="502"/>
      <c r="N32" s="59" t="s">
        <v>163</v>
      </c>
      <c r="O32" s="57">
        <v>5</v>
      </c>
      <c r="P32" s="59" t="s">
        <v>164</v>
      </c>
      <c r="Q32" s="589"/>
      <c r="R32" s="591"/>
      <c r="S32" s="591"/>
      <c r="T32" s="591"/>
      <c r="U32" s="587"/>
    </row>
    <row r="33" spans="2:21" ht="128.25" customHeight="1" x14ac:dyDescent="0.2">
      <c r="B33" s="54" t="s">
        <v>165</v>
      </c>
      <c r="C33" s="59" t="s">
        <v>166</v>
      </c>
      <c r="D33" s="59" t="s">
        <v>167</v>
      </c>
      <c r="E33" s="57">
        <v>1</v>
      </c>
      <c r="F33" s="57">
        <v>0</v>
      </c>
      <c r="G33" s="57">
        <v>0</v>
      </c>
      <c r="H33" s="57">
        <v>0</v>
      </c>
      <c r="I33" s="58">
        <f>SUM(E33:H33)</f>
        <v>1</v>
      </c>
      <c r="J33" s="59" t="s">
        <v>112</v>
      </c>
      <c r="K33" s="59" t="s">
        <v>168</v>
      </c>
      <c r="L33" s="58">
        <v>11</v>
      </c>
      <c r="M33" s="149" t="s">
        <v>375</v>
      </c>
      <c r="N33" s="59" t="s">
        <v>115</v>
      </c>
      <c r="O33" s="82">
        <v>1</v>
      </c>
      <c r="P33" s="59" t="s">
        <v>169</v>
      </c>
      <c r="Q33" s="73">
        <f>R33+S33+T33</f>
        <v>36000000</v>
      </c>
      <c r="R33" s="63">
        <v>36000000</v>
      </c>
      <c r="S33" s="83">
        <v>0</v>
      </c>
      <c r="T33" s="83">
        <v>0</v>
      </c>
      <c r="U33" s="63">
        <v>0</v>
      </c>
    </row>
    <row r="34" spans="2:21" ht="16.5" x14ac:dyDescent="0.25">
      <c r="B34" s="503" t="s">
        <v>53</v>
      </c>
      <c r="C34" s="503"/>
      <c r="D34" s="503"/>
      <c r="E34" s="503"/>
      <c r="F34" s="503"/>
      <c r="G34" s="503"/>
      <c r="H34" s="503"/>
      <c r="I34" s="503"/>
      <c r="J34" s="503"/>
      <c r="K34" s="503"/>
      <c r="L34" s="503"/>
      <c r="M34" s="503"/>
      <c r="N34" s="503"/>
      <c r="O34" s="503"/>
      <c r="P34" s="503"/>
      <c r="Q34" s="175">
        <f>SUM(R34:T34)</f>
        <v>2483443753</v>
      </c>
      <c r="R34" s="175">
        <f>SUBTOTAL(9,R10:R33)</f>
        <v>2183443753</v>
      </c>
      <c r="S34" s="175">
        <f>SUBTOTAL(9,S10:S33)</f>
        <v>0</v>
      </c>
      <c r="T34" s="175">
        <f>SUBTOTAL(9,T10:T33)</f>
        <v>300000000</v>
      </c>
      <c r="U34" s="175">
        <f>SUBTOTAL(9,U10:U33)</f>
        <v>452354732</v>
      </c>
    </row>
    <row r="37" spans="2:21" x14ac:dyDescent="0.2">
      <c r="B37" s="304" t="s">
        <v>394</v>
      </c>
    </row>
    <row r="41" spans="2:21" x14ac:dyDescent="0.2">
      <c r="P41" s="191"/>
    </row>
  </sheetData>
  <mergeCells count="74">
    <mergeCell ref="B31:B32"/>
    <mergeCell ref="M31:M32"/>
    <mergeCell ref="B34:P34"/>
    <mergeCell ref="L2:U2"/>
    <mergeCell ref="L3:U3"/>
    <mergeCell ref="U22:U25"/>
    <mergeCell ref="B27:U27"/>
    <mergeCell ref="B28:U28"/>
    <mergeCell ref="B29:J29"/>
    <mergeCell ref="L29:P29"/>
    <mergeCell ref="U31:U32"/>
    <mergeCell ref="L31:L32"/>
    <mergeCell ref="Q31:Q32"/>
    <mergeCell ref="R31:R32"/>
    <mergeCell ref="S31:S32"/>
    <mergeCell ref="T31:T32"/>
    <mergeCell ref="B14:B21"/>
    <mergeCell ref="U14:U15"/>
    <mergeCell ref="K16:K17"/>
    <mergeCell ref="U19:U21"/>
    <mergeCell ref="B11:B13"/>
    <mergeCell ref="Q14:Q15"/>
    <mergeCell ref="T19:T21"/>
    <mergeCell ref="T14:T15"/>
    <mergeCell ref="S19:S21"/>
    <mergeCell ref="C16:C17"/>
    <mergeCell ref="D16:D17"/>
    <mergeCell ref="M19:M21"/>
    <mergeCell ref="E16:E17"/>
    <mergeCell ref="F16:F17"/>
    <mergeCell ref="M14:M15"/>
    <mergeCell ref="C14:C15"/>
    <mergeCell ref="Q29:T29"/>
    <mergeCell ref="U29:U30"/>
    <mergeCell ref="U11:U12"/>
    <mergeCell ref="B6:U6"/>
    <mergeCell ref="B7:U7"/>
    <mergeCell ref="B8:U8"/>
    <mergeCell ref="B9:J9"/>
    <mergeCell ref="L9:P9"/>
    <mergeCell ref="Q9:T9"/>
    <mergeCell ref="U9:U10"/>
    <mergeCell ref="T22:T25"/>
    <mergeCell ref="J16:J17"/>
    <mergeCell ref="B22:B26"/>
    <mergeCell ref="M22:M25"/>
    <mergeCell ref="Q19:Q21"/>
    <mergeCell ref="R19:R21"/>
    <mergeCell ref="Q22:Q25"/>
    <mergeCell ref="R22:R25"/>
    <mergeCell ref="L19:L21"/>
    <mergeCell ref="S22:S25"/>
    <mergeCell ref="N19:N21"/>
    <mergeCell ref="P19:P21"/>
    <mergeCell ref="G16:G17"/>
    <mergeCell ref="H16:H17"/>
    <mergeCell ref="I16:I17"/>
    <mergeCell ref="O19:O21"/>
    <mergeCell ref="L22:L25"/>
    <mergeCell ref="P14:P15"/>
    <mergeCell ref="T11:T12"/>
    <mergeCell ref="O14:O15"/>
    <mergeCell ref="M11:M12"/>
    <mergeCell ref="L11:L12"/>
    <mergeCell ref="N11:N12"/>
    <mergeCell ref="O11:O12"/>
    <mergeCell ref="R14:R15"/>
    <mergeCell ref="S14:S15"/>
    <mergeCell ref="P11:P12"/>
    <mergeCell ref="L14:L15"/>
    <mergeCell ref="Q11:Q12"/>
    <mergeCell ref="R11:R12"/>
    <mergeCell ref="S11:S12"/>
    <mergeCell ref="N14:N15"/>
  </mergeCells>
  <conditionalFormatting sqref="O18">
    <cfRule type="expression" dxfId="309" priority="7" stopIfTrue="1">
      <formula>+IF((#REF!+#REF!+#REF!+#REF!+#REF!)&lt;&gt;$L19,1,0)</formula>
    </cfRule>
  </conditionalFormatting>
  <conditionalFormatting sqref="E11:H12">
    <cfRule type="expression" dxfId="308" priority="76" stopIfTrue="1">
      <formula>+IF((#REF!+#REF!+#REF!+#REF!+#REF!)&lt;&gt;$L11,1,0)</formula>
    </cfRule>
  </conditionalFormatting>
  <conditionalFormatting sqref="E33">
    <cfRule type="expression" dxfId="307" priority="75" stopIfTrue="1">
      <formula>+IF((#REF!+#REF!+#REF!+#REF!+#REF!)&lt;&gt;$L33,1,0)</formula>
    </cfRule>
  </conditionalFormatting>
  <conditionalFormatting sqref="C11:C12">
    <cfRule type="expression" dxfId="306" priority="74" stopIfTrue="1">
      <formula>+IF((#REF!+#REF!+#REF!+#REF!+#REF!)&lt;&gt;$M11,1,0)</formula>
    </cfRule>
  </conditionalFormatting>
  <conditionalFormatting sqref="D11:D12">
    <cfRule type="expression" dxfId="305" priority="73" stopIfTrue="1">
      <formula>+IF((#REF!+#REF!+#REF!+#REF!+#REF!)&lt;&gt;$M11,1,0)</formula>
    </cfRule>
  </conditionalFormatting>
  <conditionalFormatting sqref="C11:C12">
    <cfRule type="expression" dxfId="304" priority="72" stopIfTrue="1">
      <formula>+IF((#REF!+#REF!+#REF!+#REF!+#REF!)&lt;&gt;$M11,1,0)</formula>
    </cfRule>
  </conditionalFormatting>
  <conditionalFormatting sqref="D11:D12">
    <cfRule type="expression" dxfId="303" priority="71" stopIfTrue="1">
      <formula>+IF((#REF!+#REF!+#REF!+#REF!+#REF!)&lt;&gt;$M11,1,0)</formula>
    </cfRule>
  </conditionalFormatting>
  <conditionalFormatting sqref="E11:H12">
    <cfRule type="expression" dxfId="302" priority="70" stopIfTrue="1">
      <formula>+IF((#REF!+#REF!+#REF!+#REF!+#REF!)&lt;&gt;$L11,1,0)</formula>
    </cfRule>
  </conditionalFormatting>
  <conditionalFormatting sqref="F14:H15">
    <cfRule type="expression" dxfId="301" priority="69" stopIfTrue="1">
      <formula>+IF((#REF!+#REF!+#REF!+#REF!+#REF!)&lt;&gt;$M14,1,0)</formula>
    </cfRule>
  </conditionalFormatting>
  <conditionalFormatting sqref="D14:E15">
    <cfRule type="expression" dxfId="300" priority="68" stopIfTrue="1">
      <formula>+IF((#REF!+#REF!+#REF!+#REF!+#REF!)&lt;&gt;$N14,1,0)</formula>
    </cfRule>
  </conditionalFormatting>
  <conditionalFormatting sqref="E14:H15">
    <cfRule type="expression" dxfId="299" priority="67" stopIfTrue="1">
      <formula>+IF((#REF!+#REF!+#REF!+#REF!+#REF!)&lt;&gt;$M14,1,0)</formula>
    </cfRule>
  </conditionalFormatting>
  <conditionalFormatting sqref="N13:N14">
    <cfRule type="expression" dxfId="298" priority="66" stopIfTrue="1">
      <formula>+IF((#REF!+#REF!+#REF!+#REF!+#REF!)&lt;&gt;$M13,1,0)</formula>
    </cfRule>
  </conditionalFormatting>
  <conditionalFormatting sqref="E33">
    <cfRule type="expression" dxfId="297" priority="63" stopIfTrue="1">
      <formula>+IF((#REF!+#REF!+#REF!+#REF!+#REF!)&lt;&gt;$L33,1,0)</formula>
    </cfRule>
  </conditionalFormatting>
  <conditionalFormatting sqref="F19:H19 F21:H21">
    <cfRule type="expression" dxfId="296" priority="60" stopIfTrue="1">
      <formula>+IF((#REF!+#REF!+#REF!+#REF!+#REF!)&lt;&gt;$M19,1,0)</formula>
    </cfRule>
  </conditionalFormatting>
  <conditionalFormatting sqref="D19:E19 D21:E21">
    <cfRule type="expression" dxfId="295" priority="59" stopIfTrue="1">
      <formula>+IF((#REF!+#REF!+#REF!+#REF!+#REF!)&lt;&gt;$N19,1,0)</formula>
    </cfRule>
  </conditionalFormatting>
  <conditionalFormatting sqref="E19:H19 E21:H21">
    <cfRule type="expression" dxfId="294" priority="58" stopIfTrue="1">
      <formula>+IF((#REF!+#REF!+#REF!+#REF!+#REF!)&lt;&gt;$M19,1,0)</formula>
    </cfRule>
  </conditionalFormatting>
  <conditionalFormatting sqref="E25:H25">
    <cfRule type="expression" dxfId="293" priority="57" stopIfTrue="1">
      <formula>+IF((#REF!+#REF!+#REF!+#REF!+#REF!)&lt;&gt;$L25,1,0)</formula>
    </cfRule>
  </conditionalFormatting>
  <conditionalFormatting sqref="C25:D25">
    <cfRule type="expression" dxfId="292" priority="56" stopIfTrue="1">
      <formula>+IF((#REF!+#REF!+#REF!+#REF!+#REF!)&lt;&gt;$M25,1,0)</formula>
    </cfRule>
  </conditionalFormatting>
  <conditionalFormatting sqref="E25:H25">
    <cfRule type="expression" dxfId="291" priority="55" stopIfTrue="1">
      <formula>+IF((#REF!+#REF!+#REF!+#REF!+#REF!)&lt;&gt;$L25,1,0)</formula>
    </cfRule>
  </conditionalFormatting>
  <conditionalFormatting sqref="F22:H22">
    <cfRule type="expression" dxfId="290" priority="54" stopIfTrue="1">
      <formula>+IF((#REF!+#REF!+#REF!+#REF!+#REF!)&lt;&gt;$M22,1,0)</formula>
    </cfRule>
  </conditionalFormatting>
  <conditionalFormatting sqref="E22">
    <cfRule type="expression" dxfId="289" priority="53" stopIfTrue="1">
      <formula>+IF((#REF!+#REF!+#REF!+#REF!+#REF!)&lt;&gt;$N22,1,0)</formula>
    </cfRule>
  </conditionalFormatting>
  <conditionalFormatting sqref="E22:H22">
    <cfRule type="expression" dxfId="288" priority="52" stopIfTrue="1">
      <formula>+IF((#REF!+#REF!+#REF!+#REF!+#REF!)&lt;&gt;$M22,1,0)</formula>
    </cfRule>
  </conditionalFormatting>
  <conditionalFormatting sqref="C22">
    <cfRule type="expression" dxfId="287" priority="51" stopIfTrue="1">
      <formula>+IF((#REF!+#REF!+#REF!+#REF!+#REF!)&lt;&gt;$M22,1,0)</formula>
    </cfRule>
  </conditionalFormatting>
  <conditionalFormatting sqref="D22">
    <cfRule type="expression" dxfId="286" priority="50" stopIfTrue="1">
      <formula>+IF((#REF!+#REF!+#REF!+#REF!+#REF!)&lt;&gt;$M22,1,0)</formula>
    </cfRule>
  </conditionalFormatting>
  <conditionalFormatting sqref="F33:H33">
    <cfRule type="expression" dxfId="285" priority="49" stopIfTrue="1">
      <formula>+IF((#REF!+#REF!+#REF!+#REF!+#REF!)&lt;&gt;$L33,1,0)</formula>
    </cfRule>
  </conditionalFormatting>
  <conditionalFormatting sqref="F33:H33">
    <cfRule type="expression" dxfId="284" priority="46" stopIfTrue="1">
      <formula>+IF((#REF!+#REF!+#REF!+#REF!+#REF!)&lt;&gt;$L33,1,0)</formula>
    </cfRule>
  </conditionalFormatting>
  <conditionalFormatting sqref="N16:N17">
    <cfRule type="expression" dxfId="283" priority="42" stopIfTrue="1">
      <formula>+IF((#REF!+#REF!+#REF!+#REF!+#REF!)&lt;&gt;$N16,1,0)</formula>
    </cfRule>
  </conditionalFormatting>
  <conditionalFormatting sqref="E16:H16">
    <cfRule type="expression" dxfId="282" priority="43" stopIfTrue="1">
      <formula>+IF((#REF!+#REF!+#REF!+#REF!+#REF!)&lt;&gt;$M16,1,0)</formula>
    </cfRule>
  </conditionalFormatting>
  <conditionalFormatting sqref="F16:H16">
    <cfRule type="expression" dxfId="281" priority="45" stopIfTrue="1">
      <formula>+IF((#REF!+#REF!+#REF!+#REF!+#REF!)&lt;&gt;$M16,1,0)</formula>
    </cfRule>
  </conditionalFormatting>
  <conditionalFormatting sqref="D16:E16">
    <cfRule type="expression" dxfId="280" priority="44" stopIfTrue="1">
      <formula>+IF((#REF!+#REF!+#REF!+#REF!+#REF!)&lt;&gt;$N16,1,0)</formula>
    </cfRule>
  </conditionalFormatting>
  <conditionalFormatting sqref="E23:H23">
    <cfRule type="expression" dxfId="279" priority="41" stopIfTrue="1">
      <formula>+IF((#REF!+#REF!+#REF!+#REF!+#REF!)&lt;&gt;$L23,1,0)</formula>
    </cfRule>
  </conditionalFormatting>
  <conditionalFormatting sqref="C23">
    <cfRule type="expression" dxfId="278" priority="40" stopIfTrue="1">
      <formula>+IF((#REF!+#REF!+#REF!+#REF!+#REF!)&lt;&gt;$M23,1,0)</formula>
    </cfRule>
  </conditionalFormatting>
  <conditionalFormatting sqref="D23">
    <cfRule type="expression" dxfId="277" priority="39" stopIfTrue="1">
      <formula>+IF((#REF!+#REF!+#REF!+#REF!+#REF!)&lt;&gt;$M23,1,0)</formula>
    </cfRule>
  </conditionalFormatting>
  <conditionalFormatting sqref="E23:H23">
    <cfRule type="expression" dxfId="276" priority="38" stopIfTrue="1">
      <formula>+IF((#REF!+#REF!+#REF!+#REF!+#REF!)&lt;&gt;$L23,1,0)</formula>
    </cfRule>
  </conditionalFormatting>
  <conditionalFormatting sqref="E23:H23">
    <cfRule type="expression" dxfId="275" priority="37" stopIfTrue="1">
      <formula>+IF((#REF!+#REF!+#REF!+#REF!+#REF!)&lt;&gt;$L23,1,0)</formula>
    </cfRule>
  </conditionalFormatting>
  <conditionalFormatting sqref="C23">
    <cfRule type="expression" dxfId="274" priority="36" stopIfTrue="1">
      <formula>+IF((#REF!+#REF!+#REF!+#REF!+#REF!)&lt;&gt;$M23,1,0)</formula>
    </cfRule>
  </conditionalFormatting>
  <conditionalFormatting sqref="D23">
    <cfRule type="expression" dxfId="273" priority="35" stopIfTrue="1">
      <formula>+IF((#REF!+#REF!+#REF!+#REF!+#REF!)&lt;&gt;$M23,1,0)</formula>
    </cfRule>
  </conditionalFormatting>
  <conditionalFormatting sqref="F26:H26">
    <cfRule type="expression" dxfId="272" priority="34" stopIfTrue="1">
      <formula>+IF((#REF!+#REF!+#REF!+#REF!+#REF!)&lt;&gt;$M26,1,0)</formula>
    </cfRule>
  </conditionalFormatting>
  <conditionalFormatting sqref="E26">
    <cfRule type="expression" dxfId="271" priority="33" stopIfTrue="1">
      <formula>+IF((#REF!+#REF!+#REF!+#REF!+#REF!)&lt;&gt;$N26,1,0)</formula>
    </cfRule>
  </conditionalFormatting>
  <conditionalFormatting sqref="E26:H26">
    <cfRule type="expression" dxfId="270" priority="32" stopIfTrue="1">
      <formula>+IF((#REF!+#REF!+#REF!+#REF!+#REF!)&lt;&gt;$M26,1,0)</formula>
    </cfRule>
  </conditionalFormatting>
  <conditionalFormatting sqref="C26">
    <cfRule type="expression" dxfId="269" priority="31" stopIfTrue="1">
      <formula>+IF((#REF!+#REF!+#REF!+#REF!+#REF!)&lt;&gt;$M26,1,0)</formula>
    </cfRule>
  </conditionalFormatting>
  <conditionalFormatting sqref="D26">
    <cfRule type="expression" dxfId="268" priority="30" stopIfTrue="1">
      <formula>+IF((#REF!+#REF!+#REF!+#REF!+#REF!)&lt;&gt;$M26,1,0)</formula>
    </cfRule>
  </conditionalFormatting>
  <conditionalFormatting sqref="E24:H24">
    <cfRule type="expression" dxfId="267" priority="29" stopIfTrue="1">
      <formula>+IF((#REF!+#REF!+#REF!+#REF!+#REF!)&lt;&gt;$L24,1,0)</formula>
    </cfRule>
  </conditionalFormatting>
  <conditionalFormatting sqref="C24:D24">
    <cfRule type="expression" dxfId="266" priority="28" stopIfTrue="1">
      <formula>+IF((#REF!+#REF!+#REF!+#REF!+#REF!)&lt;&gt;$M24,1,0)</formula>
    </cfRule>
  </conditionalFormatting>
  <conditionalFormatting sqref="E24:H24">
    <cfRule type="expression" dxfId="265" priority="27" stopIfTrue="1">
      <formula>+IF((#REF!+#REF!+#REF!+#REF!+#REF!)&lt;&gt;$L24,1,0)</formula>
    </cfRule>
  </conditionalFormatting>
  <conditionalFormatting sqref="G24">
    <cfRule type="expression" dxfId="264" priority="26" stopIfTrue="1">
      <formula>+IF((#REF!+#REF!+#REF!+#REF!+#REF!)&lt;&gt;$L24,1,0)</formula>
    </cfRule>
  </conditionalFormatting>
  <conditionalFormatting sqref="G24">
    <cfRule type="expression" dxfId="263" priority="25" stopIfTrue="1">
      <formula>+IF((#REF!+#REF!+#REF!+#REF!+#REF!)&lt;&gt;$L24,1,0)</formula>
    </cfRule>
  </conditionalFormatting>
  <conditionalFormatting sqref="H24">
    <cfRule type="expression" dxfId="262" priority="24" stopIfTrue="1">
      <formula>+IF((#REF!+#REF!+#REF!+#REF!+#REF!)&lt;&gt;$L24,1,0)</formula>
    </cfRule>
  </conditionalFormatting>
  <conditionalFormatting sqref="H24">
    <cfRule type="expression" dxfId="261" priority="23" stopIfTrue="1">
      <formula>+IF((#REF!+#REF!+#REF!+#REF!+#REF!)&lt;&gt;$L24,1,0)</formula>
    </cfRule>
  </conditionalFormatting>
  <conditionalFormatting sqref="M24">
    <cfRule type="expression" dxfId="260" priority="22" stopIfTrue="1">
      <formula>+IF((#REF!+#REF!+#REF!+#REF!+#REF!)&lt;&gt;$M24,1,0)</formula>
    </cfRule>
  </conditionalFormatting>
  <conditionalFormatting sqref="N22:N24">
    <cfRule type="expression" dxfId="259" priority="21" stopIfTrue="1">
      <formula>+IF((#REF!+#REF!+#REF!+#REF!+#REF!)&lt;&gt;$M22,1,0)</formula>
    </cfRule>
  </conditionalFormatting>
  <conditionalFormatting sqref="O22:O24">
    <cfRule type="expression" dxfId="258" priority="20" stopIfTrue="1">
      <formula>+IF((#REF!+#REF!+#REF!+#REF!+#REF!)&lt;&gt;$L22,1,0)</formula>
    </cfRule>
  </conditionalFormatting>
  <conditionalFormatting sqref="O22:O24">
    <cfRule type="expression" dxfId="257" priority="19" stopIfTrue="1">
      <formula>+IF((#REF!+#REF!+#REF!+#REF!+#REF!)&lt;&gt;$L22,1,0)</formula>
    </cfRule>
  </conditionalFormatting>
  <conditionalFormatting sqref="F18:H18">
    <cfRule type="expression" dxfId="256" priority="18" stopIfTrue="1">
      <formula>+IF((#REF!+#REF!+#REF!+#REF!+#REF!)&lt;&gt;$M18,1,0)</formula>
    </cfRule>
  </conditionalFormatting>
  <conditionalFormatting sqref="D18:E18">
    <cfRule type="expression" dxfId="255" priority="17" stopIfTrue="1">
      <formula>+IF((#REF!+#REF!+#REF!+#REF!+#REF!)&lt;&gt;$N18,1,0)</formula>
    </cfRule>
  </conditionalFormatting>
  <conditionalFormatting sqref="E18:H18">
    <cfRule type="expression" dxfId="254" priority="16" stopIfTrue="1">
      <formula>+IF((#REF!+#REF!+#REF!+#REF!+#REF!)&lt;&gt;$M18,1,0)</formula>
    </cfRule>
  </conditionalFormatting>
  <conditionalFormatting sqref="N25">
    <cfRule type="expression" dxfId="253" priority="15" stopIfTrue="1">
      <formula>+IF((#REF!+#REF!+#REF!+#REF!+#REF!)&lt;&gt;$M25,1,0)</formula>
    </cfRule>
  </conditionalFormatting>
  <conditionalFormatting sqref="F20:H20">
    <cfRule type="expression" dxfId="252" priority="12" stopIfTrue="1">
      <formula>+IF((#REF!+#REF!+#REF!+#REF!+#REF!)&lt;&gt;$M20,1,0)</formula>
    </cfRule>
  </conditionalFormatting>
  <conditionalFormatting sqref="D20:E20">
    <cfRule type="expression" dxfId="251" priority="11" stopIfTrue="1">
      <formula>+IF((#REF!+#REF!+#REF!+#REF!+#REF!)&lt;&gt;$N20,1,0)</formula>
    </cfRule>
  </conditionalFormatting>
  <conditionalFormatting sqref="E20:H20">
    <cfRule type="expression" dxfId="250" priority="10" stopIfTrue="1">
      <formula>+IF((#REF!+#REF!+#REF!+#REF!+#REF!)&lt;&gt;$M20,1,0)</formula>
    </cfRule>
  </conditionalFormatting>
  <conditionalFormatting sqref="N18">
    <cfRule type="expression" dxfId="249" priority="9" stopIfTrue="1">
      <formula>+IF((#REF!+#REF!+#REF!+#REF!+#REF!)&lt;&gt;$M19,1,0)</formula>
    </cfRule>
  </conditionalFormatting>
  <conditionalFormatting sqref="O18">
    <cfRule type="expression" dxfId="248" priority="8" stopIfTrue="1">
      <formula>+IF((#REF!+#REF!+#REF!+#REF!+#REF!)&lt;&gt;$L19,1,0)</formula>
    </cfRule>
  </conditionalFormatting>
  <conditionalFormatting sqref="N11">
    <cfRule type="expression" dxfId="247" priority="149" stopIfTrue="1">
      <formula>+IF((#REF!+#REF!+#REF!+#REF!+#REF!)&lt;&gt;#REF!,1,0)</formula>
    </cfRule>
  </conditionalFormatting>
  <conditionalFormatting sqref="E32">
    <cfRule type="expression" dxfId="246" priority="151" stopIfTrue="1">
      <formula>+IF((#REF!+#REF!+#REF!+#REF!+#REF!)&lt;&gt;$L31,1,0)</formula>
    </cfRule>
  </conditionalFormatting>
  <conditionalFormatting sqref="E31">
    <cfRule type="expression" dxfId="245" priority="152" stopIfTrue="1">
      <formula>+IF((#REF!+#REF!+#REF!+#REF!+#REF!)&lt;&gt;#REF!,1,0)</formula>
    </cfRule>
  </conditionalFormatting>
  <conditionalFormatting sqref="E31">
    <cfRule type="expression" dxfId="244" priority="153" stopIfTrue="1">
      <formula>+IF((#REF!+#REF!+#REF!+#REF!+#REF!)&lt;&gt;#REF!,1,0)</formula>
    </cfRule>
  </conditionalFormatting>
  <conditionalFormatting sqref="E32">
    <cfRule type="expression" dxfId="243" priority="154" stopIfTrue="1">
      <formula>+IF((#REF!+#REF!+#REF!+#REF!+#REF!)&lt;&gt;$L31,1,0)</formula>
    </cfRule>
  </conditionalFormatting>
  <conditionalFormatting sqref="F32:H32">
    <cfRule type="expression" dxfId="242" priority="156" stopIfTrue="1">
      <formula>+IF((#REF!+#REF!+#REF!+#REF!+#REF!)&lt;&gt;$L31,1,0)</formula>
    </cfRule>
  </conditionalFormatting>
  <conditionalFormatting sqref="F31:H31">
    <cfRule type="expression" dxfId="241" priority="157" stopIfTrue="1">
      <formula>+IF((#REF!+#REF!+#REF!+#REF!+#REF!)&lt;&gt;#REF!,1,0)</formula>
    </cfRule>
  </conditionalFormatting>
  <conditionalFormatting sqref="F31:H31">
    <cfRule type="expression" dxfId="240" priority="158" stopIfTrue="1">
      <formula>+IF((#REF!+#REF!+#REF!+#REF!+#REF!)&lt;&gt;#REF!,1,0)</formula>
    </cfRule>
  </conditionalFormatting>
  <conditionalFormatting sqref="F32:H32">
    <cfRule type="expression" dxfId="239" priority="159" stopIfTrue="1">
      <formula>+IF((#REF!+#REF!+#REF!+#REF!+#REF!)&lt;&gt;$L31,1,0)</formula>
    </cfRule>
  </conditionalFormatting>
  <conditionalFormatting sqref="O31">
    <cfRule type="expression" dxfId="238" priority="160" stopIfTrue="1">
      <formula>+IF((#REF!+#REF!+#REF!+#REF!+#REF!)&lt;&gt;#REF!,1,0)</formula>
    </cfRule>
  </conditionalFormatting>
  <conditionalFormatting sqref="O32">
    <cfRule type="expression" dxfId="237" priority="161" stopIfTrue="1">
      <formula>+IF((#REF!+#REF!+#REF!+#REF!+#REF!)&lt;&gt;$L31,1,0)</formula>
    </cfRule>
  </conditionalFormatting>
  <conditionalFormatting sqref="C13">
    <cfRule type="expression" dxfId="236" priority="6" stopIfTrue="1">
      <formula>+IF((#REF!+#REF!+#REF!+#REF!+#REF!)&lt;&gt;$M13,1,0)</formula>
    </cfRule>
  </conditionalFormatting>
  <conditionalFormatting sqref="C13">
    <cfRule type="expression" dxfId="235" priority="5" stopIfTrue="1">
      <formula>+IF((#REF!+#REF!+#REF!+#REF!+#REF!)&lt;&gt;$M13,1,0)</formula>
    </cfRule>
  </conditionalFormatting>
  <conditionalFormatting sqref="D13">
    <cfRule type="expression" dxfId="234" priority="4" stopIfTrue="1">
      <formula>+IF((#REF!+#REF!+#REF!+#REF!+#REF!)&lt;&gt;$M13,1,0)</formula>
    </cfRule>
  </conditionalFormatting>
  <conditionalFormatting sqref="D13">
    <cfRule type="expression" dxfId="233" priority="3" stopIfTrue="1">
      <formula>+IF((#REF!+#REF!+#REF!+#REF!+#REF!)&lt;&gt;$M13,1,0)</formula>
    </cfRule>
  </conditionalFormatting>
  <conditionalFormatting sqref="E13:H13">
    <cfRule type="expression" dxfId="232" priority="2" stopIfTrue="1">
      <formula>+IF((#REF!+#REF!+#REF!+#REF!+#REF!)&lt;&gt;$L13,1,0)</formula>
    </cfRule>
  </conditionalFormatting>
  <conditionalFormatting sqref="E13:H13">
    <cfRule type="expression" dxfId="231" priority="1" stopIfTrue="1">
      <formula>+IF((#REF!+#REF!+#REF!+#REF!+#REF!)&lt;&gt;$L13,1,0)</formula>
    </cfRule>
  </conditionalFormatting>
  <dataValidations count="6">
    <dataValidation type="list" allowBlank="1" showInputMessage="1" showErrorMessage="1" sqref="J23">
      <formula1>$U$41:$U$49</formula1>
    </dataValidation>
    <dataValidation type="list" allowBlank="1" showInputMessage="1" showErrorMessage="1" sqref="K23 K20">
      <formula1>$I$35:$I$39</formula1>
    </dataValidation>
    <dataValidation type="list" allowBlank="1" showInputMessage="1" showErrorMessage="1" sqref="P22:P26 P16:P18 P11 P13:P14">
      <formula1>$Q$47:$Q$72</formula1>
    </dataValidation>
    <dataValidation type="list" allowBlank="1" showInputMessage="1" showErrorMessage="1" sqref="K31:K33 K21:K22 K18:K19 K24:K26 K11:K16">
      <formula1>$I$41:$I$45</formula1>
    </dataValidation>
    <dataValidation type="list" allowBlank="1" showInputMessage="1" showErrorMessage="1" sqref="J31:J33 J18:J22 J24:J26 J11:J16">
      <formula1>$U$47:$U$55</formula1>
    </dataValidation>
    <dataValidation type="list" allowBlank="1" showInputMessage="1" showErrorMessage="1" sqref="P31:P33">
      <formula1>$Q$52:$Q$77</formula1>
    </dataValidation>
  </dataValidations>
  <pageMargins left="0.7" right="0.7" top="0.75" bottom="0.75" header="0.3" footer="0.3"/>
  <pageSetup orientation="portrait" verticalDpi="0" r:id="rId1"/>
  <ignoredErrors>
    <ignoredError sqref="Q13:Q14 Q16:Q19 Q26 Q33 Q22:R22 U14 Q11 U17 R31 R16" unlockedFormula="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1:Z41"/>
  <sheetViews>
    <sheetView topLeftCell="T8" zoomScale="80" zoomScaleNormal="80" workbookViewId="0">
      <selection activeCell="Y12" sqref="Y12:Y13"/>
    </sheetView>
  </sheetViews>
  <sheetFormatPr baseColWidth="10" defaultColWidth="11.42578125" defaultRowHeight="14.25" x14ac:dyDescent="0.2"/>
  <cols>
    <col min="1" max="1" width="5.140625" style="90" customWidth="1"/>
    <col min="2" max="2" width="17.42578125" style="90" customWidth="1"/>
    <col min="3" max="3" width="25.5703125" style="90" customWidth="1"/>
    <col min="4" max="4" width="16.7109375" style="90" customWidth="1"/>
    <col min="5" max="6" width="7.140625" style="90" bestFit="1" customWidth="1"/>
    <col min="7" max="8" width="6.28515625" style="90" bestFit="1" customWidth="1"/>
    <col min="9" max="9" width="9.85546875" style="90" customWidth="1"/>
    <col min="10" max="10" width="11.42578125" style="90"/>
    <col min="11" max="11" width="25.5703125" style="90" customWidth="1"/>
    <col min="12" max="12" width="5.85546875" style="90" customWidth="1"/>
    <col min="13" max="13" width="20.85546875" style="90" customWidth="1"/>
    <col min="14" max="14" width="12.42578125" style="90" bestFit="1" customWidth="1"/>
    <col min="15" max="15" width="9.140625" style="90" customWidth="1"/>
    <col min="16" max="16" width="28.85546875" style="90" customWidth="1"/>
    <col min="17" max="17" width="19.28515625" style="90" customWidth="1"/>
    <col min="18" max="18" width="16.28515625" style="90" customWidth="1"/>
    <col min="19" max="19" width="13.42578125" style="90" customWidth="1"/>
    <col min="20" max="20" width="18.85546875" style="90" customWidth="1"/>
    <col min="21" max="21" width="20.42578125" style="90" customWidth="1"/>
    <col min="22" max="22" width="70.85546875" style="90" customWidth="1"/>
    <col min="23" max="23" width="60.7109375" style="90" customWidth="1"/>
    <col min="24" max="24" width="60.85546875" style="90" customWidth="1"/>
    <col min="25" max="25" width="70.7109375" style="90" customWidth="1"/>
    <col min="26" max="26" width="32.85546875" style="90" customWidth="1"/>
    <col min="27" max="16384" width="11.42578125" style="90"/>
  </cols>
  <sheetData>
    <row r="1" spans="2:26" ht="15.75" x14ac:dyDescent="0.2">
      <c r="B1" s="563" t="s">
        <v>412</v>
      </c>
      <c r="C1" s="563"/>
      <c r="D1" s="563"/>
      <c r="E1" s="563"/>
      <c r="F1" s="563"/>
      <c r="G1" s="563"/>
      <c r="H1" s="563"/>
      <c r="I1" s="563"/>
      <c r="J1" s="563"/>
      <c r="K1" s="563"/>
      <c r="L1" s="563"/>
      <c r="M1" s="563"/>
      <c r="N1" s="563"/>
      <c r="O1" s="563"/>
      <c r="P1" s="563"/>
      <c r="Q1" s="563"/>
      <c r="R1" s="563"/>
      <c r="S1" s="563"/>
      <c r="T1" s="563"/>
      <c r="U1" s="563"/>
    </row>
    <row r="2" spans="2:26" ht="15.75" x14ac:dyDescent="0.2">
      <c r="B2" s="563" t="s">
        <v>389</v>
      </c>
      <c r="C2" s="563"/>
      <c r="D2" s="563"/>
      <c r="E2" s="563"/>
      <c r="F2" s="563"/>
      <c r="G2" s="563"/>
      <c r="H2" s="563"/>
      <c r="I2" s="563"/>
      <c r="J2" s="563"/>
      <c r="K2" s="563"/>
      <c r="L2" s="563"/>
      <c r="M2" s="563"/>
      <c r="N2" s="563"/>
      <c r="O2" s="563"/>
      <c r="P2" s="563"/>
      <c r="Q2" s="563"/>
      <c r="R2" s="563"/>
      <c r="S2" s="563"/>
      <c r="T2" s="563"/>
      <c r="U2" s="563"/>
    </row>
    <row r="3" spans="2:26" ht="15.75" x14ac:dyDescent="0.2">
      <c r="L3" s="584" t="s">
        <v>0</v>
      </c>
      <c r="M3" s="584"/>
      <c r="N3" s="584"/>
      <c r="O3" s="584"/>
      <c r="P3" s="584"/>
      <c r="Q3" s="584"/>
      <c r="R3" s="584"/>
      <c r="S3" s="584"/>
      <c r="T3" s="584"/>
      <c r="U3" s="584"/>
    </row>
    <row r="4" spans="2:26" ht="18" x14ac:dyDescent="0.2">
      <c r="L4" s="585" t="s">
        <v>170</v>
      </c>
      <c r="M4" s="585"/>
      <c r="N4" s="585"/>
      <c r="O4" s="585"/>
      <c r="P4" s="585"/>
      <c r="Q4" s="585"/>
      <c r="R4" s="585"/>
      <c r="S4" s="585"/>
      <c r="T4" s="585"/>
      <c r="U4" s="585"/>
    </row>
    <row r="5" spans="2:26" ht="18" x14ac:dyDescent="0.2">
      <c r="L5" s="263"/>
      <c r="M5" s="263"/>
      <c r="N5" s="263"/>
      <c r="O5" s="263"/>
      <c r="P5" s="263"/>
      <c r="Q5" s="263"/>
      <c r="R5" s="263"/>
      <c r="S5" s="263"/>
      <c r="T5" s="263"/>
      <c r="U5" s="263"/>
    </row>
    <row r="7" spans="2:26" ht="16.5" x14ac:dyDescent="0.2">
      <c r="B7" s="523" t="s">
        <v>23</v>
      </c>
      <c r="C7" s="523"/>
      <c r="D7" s="523"/>
      <c r="E7" s="523"/>
      <c r="F7" s="523"/>
      <c r="G7" s="523"/>
      <c r="H7" s="523"/>
      <c r="I7" s="523"/>
      <c r="J7" s="523"/>
      <c r="K7" s="523"/>
      <c r="L7" s="523"/>
      <c r="M7" s="523"/>
      <c r="N7" s="523"/>
      <c r="O7" s="523"/>
      <c r="P7" s="523"/>
      <c r="Q7" s="523"/>
      <c r="R7" s="523"/>
      <c r="S7" s="523"/>
      <c r="T7" s="523"/>
      <c r="U7" s="523"/>
    </row>
    <row r="8" spans="2:26" ht="16.5" x14ac:dyDescent="0.2">
      <c r="B8" s="523" t="s">
        <v>107</v>
      </c>
      <c r="C8" s="523"/>
      <c r="D8" s="523"/>
      <c r="E8" s="523"/>
      <c r="F8" s="523"/>
      <c r="G8" s="523"/>
      <c r="H8" s="523"/>
      <c r="I8" s="523"/>
      <c r="J8" s="523"/>
      <c r="K8" s="523"/>
      <c r="L8" s="523"/>
      <c r="M8" s="523"/>
      <c r="N8" s="523"/>
      <c r="O8" s="523"/>
      <c r="P8" s="523"/>
      <c r="Q8" s="523"/>
      <c r="R8" s="523"/>
      <c r="S8" s="523"/>
      <c r="T8" s="523"/>
      <c r="U8" s="523"/>
    </row>
    <row r="9" spans="2:26" ht="16.5" x14ac:dyDescent="0.2">
      <c r="B9" s="523" t="s">
        <v>108</v>
      </c>
      <c r="C9" s="523"/>
      <c r="D9" s="523"/>
      <c r="E9" s="523"/>
      <c r="F9" s="523"/>
      <c r="G9" s="523"/>
      <c r="H9" s="523"/>
      <c r="I9" s="523"/>
      <c r="J9" s="523"/>
      <c r="K9" s="523"/>
      <c r="L9" s="523"/>
      <c r="M9" s="523"/>
      <c r="N9" s="523"/>
      <c r="O9" s="523"/>
      <c r="P9" s="523"/>
      <c r="Q9" s="523"/>
      <c r="R9" s="523"/>
      <c r="S9" s="523"/>
      <c r="T9" s="523"/>
      <c r="U9" s="523"/>
      <c r="W9" s="547" t="s">
        <v>411</v>
      </c>
      <c r="X9" s="547"/>
      <c r="Y9" s="547"/>
    </row>
    <row r="10" spans="2:26" ht="24.75" customHeight="1" x14ac:dyDescent="0.2">
      <c r="B10" s="576" t="s">
        <v>3</v>
      </c>
      <c r="C10" s="576"/>
      <c r="D10" s="576"/>
      <c r="E10" s="576"/>
      <c r="F10" s="576"/>
      <c r="G10" s="576"/>
      <c r="H10" s="576"/>
      <c r="I10" s="576"/>
      <c r="J10" s="576"/>
      <c r="K10" s="252"/>
      <c r="L10" s="564" t="s">
        <v>72</v>
      </c>
      <c r="M10" s="564"/>
      <c r="N10" s="564"/>
      <c r="O10" s="564"/>
      <c r="P10" s="564"/>
      <c r="Q10" s="511" t="s">
        <v>4</v>
      </c>
      <c r="R10" s="511"/>
      <c r="S10" s="511"/>
      <c r="T10" s="511"/>
      <c r="U10" s="522" t="s">
        <v>40</v>
      </c>
      <c r="W10" s="594" t="s">
        <v>410</v>
      </c>
      <c r="X10" s="595"/>
      <c r="Y10" s="558" t="s">
        <v>442</v>
      </c>
    </row>
    <row r="11" spans="2:26" ht="24" customHeight="1" x14ac:dyDescent="0.2">
      <c r="B11" s="250" t="s">
        <v>51</v>
      </c>
      <c r="C11" s="250" t="s">
        <v>12</v>
      </c>
      <c r="D11" s="250" t="s">
        <v>52</v>
      </c>
      <c r="E11" s="250" t="s">
        <v>24</v>
      </c>
      <c r="F11" s="250" t="s">
        <v>25</v>
      </c>
      <c r="G11" s="250" t="s">
        <v>26</v>
      </c>
      <c r="H11" s="250" t="s">
        <v>27</v>
      </c>
      <c r="I11" s="250" t="s">
        <v>28</v>
      </c>
      <c r="J11" s="250" t="s">
        <v>29</v>
      </c>
      <c r="K11" s="250" t="s">
        <v>47</v>
      </c>
      <c r="L11" s="255" t="s">
        <v>14</v>
      </c>
      <c r="M11" s="266" t="s">
        <v>79</v>
      </c>
      <c r="N11" s="255" t="s">
        <v>15</v>
      </c>
      <c r="O11" s="266" t="s">
        <v>16</v>
      </c>
      <c r="P11" s="250" t="s">
        <v>48</v>
      </c>
      <c r="Q11" s="255" t="s">
        <v>17</v>
      </c>
      <c r="R11" s="255" t="s">
        <v>18</v>
      </c>
      <c r="S11" s="255" t="s">
        <v>19</v>
      </c>
      <c r="T11" s="255" t="s">
        <v>361</v>
      </c>
      <c r="U11" s="522"/>
      <c r="V11" s="373" t="s">
        <v>423</v>
      </c>
      <c r="W11" s="268" t="s">
        <v>408</v>
      </c>
      <c r="X11" s="268" t="s">
        <v>409</v>
      </c>
      <c r="Y11" s="559"/>
    </row>
    <row r="12" spans="2:26" ht="170.25" customHeight="1" x14ac:dyDescent="0.2">
      <c r="B12" s="519" t="s">
        <v>109</v>
      </c>
      <c r="C12" s="264" t="s">
        <v>110</v>
      </c>
      <c r="D12" s="264" t="s">
        <v>111</v>
      </c>
      <c r="E12" s="258">
        <v>0</v>
      </c>
      <c r="F12" s="341">
        <v>0</v>
      </c>
      <c r="G12" s="258">
        <v>0</v>
      </c>
      <c r="H12" s="247">
        <v>1</v>
      </c>
      <c r="I12" s="249">
        <f>SUM(E12:H12)</f>
        <v>1</v>
      </c>
      <c r="J12" s="246" t="s">
        <v>112</v>
      </c>
      <c r="K12" s="246" t="s">
        <v>113</v>
      </c>
      <c r="L12" s="566">
        <v>1</v>
      </c>
      <c r="M12" s="502" t="s">
        <v>114</v>
      </c>
      <c r="N12" s="568" t="s">
        <v>115</v>
      </c>
      <c r="O12" s="521">
        <v>1</v>
      </c>
      <c r="P12" s="502" t="s">
        <v>116</v>
      </c>
      <c r="Q12" s="518">
        <f>R12+S12+T12</f>
        <v>42000000</v>
      </c>
      <c r="R12" s="570">
        <v>42000000</v>
      </c>
      <c r="S12" s="512">
        <v>0</v>
      </c>
      <c r="T12" s="512">
        <v>0</v>
      </c>
      <c r="U12" s="512">
        <v>0</v>
      </c>
      <c r="V12" s="596" t="s">
        <v>459</v>
      </c>
      <c r="W12" s="550" t="s">
        <v>609</v>
      </c>
      <c r="X12" s="550" t="s">
        <v>633</v>
      </c>
      <c r="Y12" s="550" t="s">
        <v>634</v>
      </c>
      <c r="Z12" s="543" t="s">
        <v>622</v>
      </c>
    </row>
    <row r="13" spans="2:26" ht="213" customHeight="1" x14ac:dyDescent="0.2">
      <c r="B13" s="519"/>
      <c r="C13" s="264" t="s">
        <v>117</v>
      </c>
      <c r="D13" s="264" t="s">
        <v>111</v>
      </c>
      <c r="E13" s="258">
        <v>1</v>
      </c>
      <c r="F13" s="341">
        <v>0</v>
      </c>
      <c r="G13" s="258">
        <v>0</v>
      </c>
      <c r="H13" s="247">
        <v>0</v>
      </c>
      <c r="I13" s="249">
        <v>1</v>
      </c>
      <c r="J13" s="246" t="s">
        <v>112</v>
      </c>
      <c r="K13" s="246" t="s">
        <v>113</v>
      </c>
      <c r="L13" s="567"/>
      <c r="M13" s="502"/>
      <c r="N13" s="569"/>
      <c r="O13" s="521"/>
      <c r="P13" s="502"/>
      <c r="Q13" s="518"/>
      <c r="R13" s="570"/>
      <c r="S13" s="512"/>
      <c r="T13" s="512"/>
      <c r="U13" s="512"/>
      <c r="V13" s="596"/>
      <c r="W13" s="550"/>
      <c r="X13" s="550"/>
      <c r="Y13" s="550"/>
      <c r="Z13" s="599"/>
    </row>
    <row r="14" spans="2:26" ht="147.75" customHeight="1" x14ac:dyDescent="0.2">
      <c r="B14" s="519"/>
      <c r="C14" s="223" t="s">
        <v>369</v>
      </c>
      <c r="D14" s="264" t="s">
        <v>370</v>
      </c>
      <c r="E14" s="247">
        <v>0</v>
      </c>
      <c r="F14" s="247">
        <v>2</v>
      </c>
      <c r="G14" s="247">
        <v>2</v>
      </c>
      <c r="H14" s="247">
        <v>2</v>
      </c>
      <c r="I14" s="249">
        <f>SUM(E14:H14)</f>
        <v>6</v>
      </c>
      <c r="J14" s="246" t="s">
        <v>112</v>
      </c>
      <c r="K14" s="246" t="s">
        <v>113</v>
      </c>
      <c r="L14" s="206">
        <v>2</v>
      </c>
      <c r="M14" s="205" t="s">
        <v>119</v>
      </c>
      <c r="N14" s="264" t="s">
        <v>115</v>
      </c>
      <c r="O14" s="254">
        <v>2</v>
      </c>
      <c r="P14" s="246" t="s">
        <v>116</v>
      </c>
      <c r="Q14" s="181">
        <f>R14+S14+T14</f>
        <v>150000000</v>
      </c>
      <c r="R14" s="66">
        <v>150000000</v>
      </c>
      <c r="S14" s="67">
        <v>0</v>
      </c>
      <c r="T14" s="67">
        <v>0</v>
      </c>
      <c r="U14" s="67">
        <v>0</v>
      </c>
      <c r="V14" s="363" t="s">
        <v>458</v>
      </c>
      <c r="W14" s="366" t="s">
        <v>639</v>
      </c>
      <c r="X14" s="366" t="s">
        <v>621</v>
      </c>
      <c r="Y14" s="366" t="s">
        <v>640</v>
      </c>
      <c r="Z14" s="378" t="s">
        <v>641</v>
      </c>
    </row>
    <row r="15" spans="2:26" ht="73.5" customHeight="1" x14ac:dyDescent="0.2">
      <c r="B15" s="519" t="s">
        <v>120</v>
      </c>
      <c r="C15" s="582" t="s">
        <v>121</v>
      </c>
      <c r="D15" s="264" t="s">
        <v>122</v>
      </c>
      <c r="E15" s="69">
        <v>1</v>
      </c>
      <c r="F15" s="69">
        <v>1</v>
      </c>
      <c r="G15" s="69">
        <v>1</v>
      </c>
      <c r="H15" s="69">
        <v>1</v>
      </c>
      <c r="I15" s="70">
        <v>1</v>
      </c>
      <c r="J15" s="246" t="s">
        <v>112</v>
      </c>
      <c r="K15" s="246" t="s">
        <v>113</v>
      </c>
      <c r="L15" s="567">
        <v>3</v>
      </c>
      <c r="M15" s="502" t="s">
        <v>123</v>
      </c>
      <c r="N15" s="572" t="s">
        <v>124</v>
      </c>
      <c r="O15" s="565">
        <v>1</v>
      </c>
      <c r="P15" s="492" t="s">
        <v>125</v>
      </c>
      <c r="Q15" s="574">
        <f>R15+S15+T15</f>
        <v>515000000</v>
      </c>
      <c r="R15" s="570">
        <f>539000000-40000000-150000000+42000000-6000000</f>
        <v>385000000</v>
      </c>
      <c r="S15" s="512">
        <v>0</v>
      </c>
      <c r="T15" s="512">
        <f>150000000-20000000</f>
        <v>130000000</v>
      </c>
      <c r="U15" s="578">
        <f>97927501-25000000</f>
        <v>72927501</v>
      </c>
      <c r="V15" s="596" t="s">
        <v>457</v>
      </c>
      <c r="W15" s="550" t="s">
        <v>645</v>
      </c>
      <c r="X15" s="550" t="s">
        <v>686</v>
      </c>
      <c r="Y15" s="550" t="s">
        <v>667</v>
      </c>
      <c r="Z15" s="543" t="s">
        <v>646</v>
      </c>
    </row>
    <row r="16" spans="2:26" ht="42.75" customHeight="1" x14ac:dyDescent="0.2">
      <c r="B16" s="519"/>
      <c r="C16" s="583"/>
      <c r="D16" s="264" t="s">
        <v>126</v>
      </c>
      <c r="E16" s="258">
        <v>1</v>
      </c>
      <c r="F16" s="258">
        <v>0</v>
      </c>
      <c r="G16" s="258">
        <v>0</v>
      </c>
      <c r="H16" s="258">
        <v>0</v>
      </c>
      <c r="I16" s="249">
        <f t="shared" ref="I16:I26" si="0">SUM(E16:H16)</f>
        <v>1</v>
      </c>
      <c r="J16" s="246" t="s">
        <v>112</v>
      </c>
      <c r="K16" s="246" t="s">
        <v>118</v>
      </c>
      <c r="L16" s="571"/>
      <c r="M16" s="502"/>
      <c r="N16" s="572"/>
      <c r="O16" s="565"/>
      <c r="P16" s="495"/>
      <c r="Q16" s="574"/>
      <c r="R16" s="570"/>
      <c r="S16" s="512"/>
      <c r="T16" s="512"/>
      <c r="U16" s="578"/>
      <c r="V16" s="596"/>
      <c r="W16" s="550"/>
      <c r="X16" s="550"/>
      <c r="Y16" s="593"/>
      <c r="Z16" s="599"/>
    </row>
    <row r="17" spans="2:26" ht="183" customHeight="1" x14ac:dyDescent="0.2">
      <c r="B17" s="519"/>
      <c r="C17" s="580" t="s">
        <v>127</v>
      </c>
      <c r="D17" s="581" t="s">
        <v>128</v>
      </c>
      <c r="E17" s="573">
        <v>1</v>
      </c>
      <c r="F17" s="573">
        <v>1</v>
      </c>
      <c r="G17" s="573">
        <v>1</v>
      </c>
      <c r="H17" s="573">
        <v>1</v>
      </c>
      <c r="I17" s="510">
        <f t="shared" si="0"/>
        <v>4</v>
      </c>
      <c r="J17" s="502" t="s">
        <v>112</v>
      </c>
      <c r="K17" s="502" t="s">
        <v>118</v>
      </c>
      <c r="L17" s="249">
        <v>4</v>
      </c>
      <c r="M17" s="72" t="s">
        <v>129</v>
      </c>
      <c r="N17" s="262" t="s">
        <v>115</v>
      </c>
      <c r="O17" s="254">
        <v>1</v>
      </c>
      <c r="P17" s="246" t="s">
        <v>116</v>
      </c>
      <c r="Q17" s="259">
        <f>R17+S17+T17</f>
        <v>371363753</v>
      </c>
      <c r="R17" s="256">
        <f>273000000-36556247+48720000+20000000+66200000</f>
        <v>371363753</v>
      </c>
      <c r="S17" s="251">
        <v>0</v>
      </c>
      <c r="T17" s="251">
        <v>0</v>
      </c>
      <c r="U17" s="256">
        <v>0</v>
      </c>
      <c r="V17" s="363" t="s">
        <v>460</v>
      </c>
      <c r="W17" s="366" t="s">
        <v>635</v>
      </c>
      <c r="X17" s="366" t="s">
        <v>636</v>
      </c>
      <c r="Y17" s="359" t="s">
        <v>637</v>
      </c>
      <c r="Z17" s="378" t="s">
        <v>638</v>
      </c>
    </row>
    <row r="18" spans="2:26" ht="164.25" customHeight="1" x14ac:dyDescent="0.2">
      <c r="B18" s="519"/>
      <c r="C18" s="580"/>
      <c r="D18" s="581"/>
      <c r="E18" s="573"/>
      <c r="F18" s="573"/>
      <c r="G18" s="573"/>
      <c r="H18" s="573"/>
      <c r="I18" s="510"/>
      <c r="J18" s="502"/>
      <c r="K18" s="502"/>
      <c r="L18" s="249">
        <v>5</v>
      </c>
      <c r="M18" s="72" t="s">
        <v>130</v>
      </c>
      <c r="N18" s="262" t="s">
        <v>115</v>
      </c>
      <c r="O18" s="254">
        <v>1</v>
      </c>
      <c r="P18" s="246" t="s">
        <v>116</v>
      </c>
      <c r="Q18" s="259">
        <f>R18+S18+T18</f>
        <v>95000000</v>
      </c>
      <c r="R18" s="256">
        <v>75000000</v>
      </c>
      <c r="S18" s="251">
        <v>0</v>
      </c>
      <c r="T18" s="251">
        <v>20000000</v>
      </c>
      <c r="U18" s="184">
        <v>0</v>
      </c>
      <c r="V18" s="363" t="s">
        <v>469</v>
      </c>
      <c r="W18" s="366" t="s">
        <v>647</v>
      </c>
      <c r="X18" s="366" t="s">
        <v>687</v>
      </c>
      <c r="Y18" s="383" t="s">
        <v>666</v>
      </c>
      <c r="Z18" s="378" t="s">
        <v>648</v>
      </c>
    </row>
    <row r="19" spans="2:26" ht="189.75" customHeight="1" x14ac:dyDescent="0.2">
      <c r="B19" s="519"/>
      <c r="C19" s="245" t="s">
        <v>131</v>
      </c>
      <c r="D19" s="264" t="s">
        <v>132</v>
      </c>
      <c r="E19" s="258">
        <v>1</v>
      </c>
      <c r="F19" s="258">
        <v>1</v>
      </c>
      <c r="G19" s="258">
        <v>1</v>
      </c>
      <c r="H19" s="258">
        <v>1</v>
      </c>
      <c r="I19" s="249">
        <f>SUM(E19:H19)</f>
        <v>4</v>
      </c>
      <c r="J19" s="246" t="s">
        <v>112</v>
      </c>
      <c r="K19" s="246" t="s">
        <v>30</v>
      </c>
      <c r="L19" s="249">
        <v>6</v>
      </c>
      <c r="M19" s="74" t="s">
        <v>133</v>
      </c>
      <c r="N19" s="75" t="s">
        <v>115</v>
      </c>
      <c r="O19" s="249">
        <v>1</v>
      </c>
      <c r="P19" s="76" t="s">
        <v>134</v>
      </c>
      <c r="Q19" s="77">
        <f>R19+S19+T19</f>
        <v>70000000</v>
      </c>
      <c r="R19" s="66">
        <v>70000000</v>
      </c>
      <c r="S19" s="251">
        <v>0</v>
      </c>
      <c r="T19" s="251">
        <v>0</v>
      </c>
      <c r="U19" s="256">
        <v>0</v>
      </c>
      <c r="V19" s="363" t="s">
        <v>470</v>
      </c>
      <c r="W19" s="366" t="s">
        <v>538</v>
      </c>
      <c r="X19" s="366" t="s">
        <v>653</v>
      </c>
      <c r="Y19" s="366" t="s">
        <v>652</v>
      </c>
      <c r="Z19" s="378" t="s">
        <v>649</v>
      </c>
    </row>
    <row r="20" spans="2:26" ht="74.25" customHeight="1" x14ac:dyDescent="0.2">
      <c r="B20" s="519"/>
      <c r="C20" s="221" t="s">
        <v>381</v>
      </c>
      <c r="D20" s="222" t="s">
        <v>382</v>
      </c>
      <c r="E20" s="258">
        <v>0</v>
      </c>
      <c r="F20" s="258">
        <v>1</v>
      </c>
      <c r="G20" s="258">
        <v>1</v>
      </c>
      <c r="H20" s="258">
        <v>1</v>
      </c>
      <c r="I20" s="249">
        <f t="shared" si="0"/>
        <v>3</v>
      </c>
      <c r="J20" s="246" t="s">
        <v>112</v>
      </c>
      <c r="K20" s="246" t="s">
        <v>118</v>
      </c>
      <c r="L20" s="510">
        <v>7</v>
      </c>
      <c r="M20" s="490" t="s">
        <v>135</v>
      </c>
      <c r="N20" s="572" t="s">
        <v>115</v>
      </c>
      <c r="O20" s="521">
        <v>4</v>
      </c>
      <c r="P20" s="490" t="s">
        <v>134</v>
      </c>
      <c r="Q20" s="577">
        <f>R20+S20+T20</f>
        <v>50000000</v>
      </c>
      <c r="R20" s="570">
        <f>70000000-20000000</f>
        <v>50000000</v>
      </c>
      <c r="S20" s="512">
        <v>0</v>
      </c>
      <c r="T20" s="512">
        <v>0</v>
      </c>
      <c r="U20" s="579">
        <f>254877231+9750000+53050000+27000000+9750000</f>
        <v>354427231</v>
      </c>
      <c r="V20" s="363" t="s">
        <v>461</v>
      </c>
      <c r="W20" s="366" t="s">
        <v>654</v>
      </c>
      <c r="X20" s="550" t="s">
        <v>689</v>
      </c>
      <c r="Y20" s="550" t="s">
        <v>660</v>
      </c>
      <c r="Z20" s="543" t="s">
        <v>688</v>
      </c>
    </row>
    <row r="21" spans="2:26" ht="72.75" customHeight="1" x14ac:dyDescent="0.2">
      <c r="B21" s="519"/>
      <c r="C21" s="245" t="s">
        <v>136</v>
      </c>
      <c r="D21" s="264" t="s">
        <v>137</v>
      </c>
      <c r="E21" s="258">
        <v>2</v>
      </c>
      <c r="F21" s="80">
        <v>2</v>
      </c>
      <c r="G21" s="258">
        <v>2</v>
      </c>
      <c r="H21" s="258">
        <v>2</v>
      </c>
      <c r="I21" s="249">
        <f>SUM(E21:H21)</f>
        <v>8</v>
      </c>
      <c r="J21" s="246" t="s">
        <v>112</v>
      </c>
      <c r="K21" s="246" t="s">
        <v>118</v>
      </c>
      <c r="L21" s="510"/>
      <c r="M21" s="490"/>
      <c r="N21" s="572"/>
      <c r="O21" s="521"/>
      <c r="P21" s="490"/>
      <c r="Q21" s="577"/>
      <c r="R21" s="570"/>
      <c r="S21" s="512"/>
      <c r="T21" s="512"/>
      <c r="U21" s="579"/>
      <c r="V21" s="363" t="s">
        <v>462</v>
      </c>
      <c r="W21" s="366" t="s">
        <v>539</v>
      </c>
      <c r="X21" s="550"/>
      <c r="Y21" s="550"/>
      <c r="Z21" s="543"/>
    </row>
    <row r="22" spans="2:26" ht="151.5" customHeight="1" x14ac:dyDescent="0.2">
      <c r="B22" s="519"/>
      <c r="C22" s="78" t="s">
        <v>138</v>
      </c>
      <c r="D22" s="79" t="s">
        <v>139</v>
      </c>
      <c r="E22" s="258">
        <v>0</v>
      </c>
      <c r="F22" s="258">
        <v>1</v>
      </c>
      <c r="G22" s="258">
        <v>1</v>
      </c>
      <c r="H22" s="258">
        <v>1</v>
      </c>
      <c r="I22" s="249">
        <v>3</v>
      </c>
      <c r="J22" s="246" t="s">
        <v>112</v>
      </c>
      <c r="K22" s="246" t="s">
        <v>118</v>
      </c>
      <c r="L22" s="510"/>
      <c r="M22" s="490"/>
      <c r="N22" s="572"/>
      <c r="O22" s="521"/>
      <c r="P22" s="490"/>
      <c r="Q22" s="577"/>
      <c r="R22" s="570"/>
      <c r="S22" s="512"/>
      <c r="T22" s="512"/>
      <c r="U22" s="579"/>
      <c r="V22" s="363" t="s">
        <v>463</v>
      </c>
      <c r="W22" s="366" t="s">
        <v>471</v>
      </c>
      <c r="X22" s="550"/>
      <c r="Y22" s="550"/>
      <c r="Z22" s="543"/>
    </row>
    <row r="23" spans="2:26" ht="112.5" customHeight="1" x14ac:dyDescent="0.2">
      <c r="B23" s="519" t="s">
        <v>140</v>
      </c>
      <c r="C23" s="337" t="s">
        <v>141</v>
      </c>
      <c r="D23" s="264" t="s">
        <v>142</v>
      </c>
      <c r="E23" s="334">
        <v>0</v>
      </c>
      <c r="F23" s="258">
        <v>2</v>
      </c>
      <c r="G23" s="258">
        <v>2</v>
      </c>
      <c r="H23" s="258">
        <v>2</v>
      </c>
      <c r="I23" s="343">
        <f t="shared" si="0"/>
        <v>6</v>
      </c>
      <c r="J23" s="246" t="s">
        <v>112</v>
      </c>
      <c r="K23" s="246" t="s">
        <v>118</v>
      </c>
      <c r="L23" s="510">
        <v>8</v>
      </c>
      <c r="M23" s="502" t="s">
        <v>143</v>
      </c>
      <c r="N23" s="264" t="s">
        <v>144</v>
      </c>
      <c r="O23" s="249">
        <v>2</v>
      </c>
      <c r="P23" s="246" t="s">
        <v>116</v>
      </c>
      <c r="Q23" s="574">
        <f>R23+S23+T23</f>
        <v>779280000</v>
      </c>
      <c r="R23" s="570">
        <f>760000000-150000000-6720000+26000000</f>
        <v>629280000</v>
      </c>
      <c r="S23" s="575">
        <v>0</v>
      </c>
      <c r="T23" s="575">
        <v>150000000</v>
      </c>
      <c r="U23" s="578">
        <v>25000000</v>
      </c>
      <c r="V23" s="363" t="s">
        <v>464</v>
      </c>
      <c r="W23" s="366" t="s">
        <v>665</v>
      </c>
      <c r="X23" s="550" t="s">
        <v>691</v>
      </c>
      <c r="Y23" s="550" t="s">
        <v>661</v>
      </c>
      <c r="Z23" s="543" t="s">
        <v>690</v>
      </c>
    </row>
    <row r="24" spans="2:26" ht="50.25" customHeight="1" x14ac:dyDescent="0.2">
      <c r="B24" s="519"/>
      <c r="C24" s="264" t="s">
        <v>145</v>
      </c>
      <c r="D24" s="264" t="s">
        <v>146</v>
      </c>
      <c r="E24" s="257">
        <v>1</v>
      </c>
      <c r="F24" s="257">
        <v>1</v>
      </c>
      <c r="G24" s="257">
        <v>1</v>
      </c>
      <c r="H24" s="257">
        <v>1</v>
      </c>
      <c r="I24" s="249">
        <f>SUM(E24:H24)</f>
        <v>4</v>
      </c>
      <c r="J24" s="246" t="s">
        <v>112</v>
      </c>
      <c r="K24" s="246" t="s">
        <v>118</v>
      </c>
      <c r="L24" s="510"/>
      <c r="M24" s="502"/>
      <c r="N24" s="264" t="s">
        <v>115</v>
      </c>
      <c r="O24" s="249">
        <v>1</v>
      </c>
      <c r="P24" s="246" t="s">
        <v>116</v>
      </c>
      <c r="Q24" s="574"/>
      <c r="R24" s="570"/>
      <c r="S24" s="575"/>
      <c r="T24" s="575"/>
      <c r="U24" s="578"/>
      <c r="V24" s="363" t="s">
        <v>465</v>
      </c>
      <c r="W24" s="366" t="s">
        <v>558</v>
      </c>
      <c r="X24" s="550"/>
      <c r="Y24" s="550"/>
      <c r="Z24" s="599"/>
    </row>
    <row r="25" spans="2:26" ht="134.25" customHeight="1" x14ac:dyDescent="0.2">
      <c r="B25" s="519"/>
      <c r="C25" s="264" t="s">
        <v>147</v>
      </c>
      <c r="D25" s="264" t="s">
        <v>148</v>
      </c>
      <c r="E25" s="257">
        <v>2</v>
      </c>
      <c r="F25" s="257">
        <v>2</v>
      </c>
      <c r="G25" s="257">
        <v>2</v>
      </c>
      <c r="H25" s="257">
        <v>2</v>
      </c>
      <c r="I25" s="249">
        <f>SUM(E25:H25)</f>
        <v>8</v>
      </c>
      <c r="J25" s="246" t="s">
        <v>112</v>
      </c>
      <c r="K25" s="246" t="s">
        <v>118</v>
      </c>
      <c r="L25" s="510"/>
      <c r="M25" s="502"/>
      <c r="N25" s="264" t="s">
        <v>149</v>
      </c>
      <c r="O25" s="249">
        <v>2</v>
      </c>
      <c r="P25" s="246" t="s">
        <v>116</v>
      </c>
      <c r="Q25" s="574"/>
      <c r="R25" s="570"/>
      <c r="S25" s="575"/>
      <c r="T25" s="575"/>
      <c r="U25" s="578"/>
      <c r="V25" s="363" t="s">
        <v>466</v>
      </c>
      <c r="W25" s="366" t="s">
        <v>655</v>
      </c>
      <c r="X25" s="550"/>
      <c r="Y25" s="550"/>
      <c r="Z25" s="599"/>
    </row>
    <row r="26" spans="2:26" ht="228.75" customHeight="1" x14ac:dyDescent="0.2">
      <c r="B26" s="519"/>
      <c r="C26" s="337" t="s">
        <v>150</v>
      </c>
      <c r="D26" s="337" t="s">
        <v>150</v>
      </c>
      <c r="E26" s="335">
        <v>0</v>
      </c>
      <c r="F26" s="257">
        <v>3</v>
      </c>
      <c r="G26" s="257">
        <v>4</v>
      </c>
      <c r="H26" s="257">
        <v>3</v>
      </c>
      <c r="I26" s="343">
        <f t="shared" si="0"/>
        <v>10</v>
      </c>
      <c r="J26" s="246" t="s">
        <v>112</v>
      </c>
      <c r="K26" s="246" t="s">
        <v>118</v>
      </c>
      <c r="L26" s="510"/>
      <c r="M26" s="502"/>
      <c r="N26" s="264" t="s">
        <v>150</v>
      </c>
      <c r="O26" s="254">
        <v>3</v>
      </c>
      <c r="P26" s="246" t="s">
        <v>116</v>
      </c>
      <c r="Q26" s="574"/>
      <c r="R26" s="570"/>
      <c r="S26" s="575"/>
      <c r="T26" s="575"/>
      <c r="U26" s="578"/>
      <c r="V26" s="363" t="s">
        <v>467</v>
      </c>
      <c r="W26" s="366" t="s">
        <v>472</v>
      </c>
      <c r="X26" s="550"/>
      <c r="Y26" s="550"/>
      <c r="Z26" s="599"/>
    </row>
    <row r="27" spans="2:26" ht="149.25" customHeight="1" x14ac:dyDescent="0.2">
      <c r="B27" s="519"/>
      <c r="C27" s="264" t="s">
        <v>151</v>
      </c>
      <c r="D27" s="264" t="s">
        <v>152</v>
      </c>
      <c r="E27" s="258">
        <v>0</v>
      </c>
      <c r="F27" s="258">
        <v>1</v>
      </c>
      <c r="G27" s="258">
        <v>1</v>
      </c>
      <c r="H27" s="258">
        <v>1</v>
      </c>
      <c r="I27" s="249">
        <v>3</v>
      </c>
      <c r="J27" s="246" t="s">
        <v>112</v>
      </c>
      <c r="K27" s="246" t="s">
        <v>118</v>
      </c>
      <c r="L27" s="249">
        <v>9</v>
      </c>
      <c r="M27" s="248" t="s">
        <v>153</v>
      </c>
      <c r="N27" s="76" t="s">
        <v>115</v>
      </c>
      <c r="O27" s="254">
        <v>1</v>
      </c>
      <c r="P27" s="246" t="s">
        <v>116</v>
      </c>
      <c r="Q27" s="181">
        <f>R27+S27+T27</f>
        <v>0</v>
      </c>
      <c r="R27" s="256">
        <f>42000000+6720000-48720000</f>
        <v>0</v>
      </c>
      <c r="S27" s="260">
        <v>0</v>
      </c>
      <c r="T27" s="260">
        <v>0</v>
      </c>
      <c r="U27" s="251">
        <v>0</v>
      </c>
      <c r="V27" s="363" t="s">
        <v>468</v>
      </c>
      <c r="W27" s="366" t="s">
        <v>473</v>
      </c>
      <c r="X27" s="366" t="s">
        <v>523</v>
      </c>
      <c r="Y27" s="366" t="s">
        <v>662</v>
      </c>
      <c r="Z27" s="380" t="s">
        <v>525</v>
      </c>
    </row>
    <row r="28" spans="2:26" ht="16.5" customHeight="1" x14ac:dyDescent="0.2">
      <c r="B28" s="523" t="s">
        <v>154</v>
      </c>
      <c r="C28" s="523"/>
      <c r="D28" s="523"/>
      <c r="E28" s="523"/>
      <c r="F28" s="523"/>
      <c r="G28" s="523"/>
      <c r="H28" s="523"/>
      <c r="I28" s="523"/>
      <c r="J28" s="523"/>
      <c r="K28" s="523"/>
      <c r="L28" s="523"/>
      <c r="M28" s="523"/>
      <c r="N28" s="523"/>
      <c r="O28" s="523"/>
      <c r="P28" s="523"/>
      <c r="Q28" s="523"/>
      <c r="R28" s="523"/>
      <c r="S28" s="523"/>
      <c r="T28" s="523"/>
      <c r="U28" s="523"/>
      <c r="V28" s="600"/>
      <c r="W28" s="600"/>
      <c r="X28" s="600"/>
      <c r="Y28" s="600"/>
    </row>
    <row r="29" spans="2:26" ht="16.5" x14ac:dyDescent="0.2">
      <c r="B29" s="523" t="s">
        <v>155</v>
      </c>
      <c r="C29" s="523"/>
      <c r="D29" s="523"/>
      <c r="E29" s="523"/>
      <c r="F29" s="523"/>
      <c r="G29" s="523"/>
      <c r="H29" s="523"/>
      <c r="I29" s="523"/>
      <c r="J29" s="523"/>
      <c r="K29" s="523"/>
      <c r="L29" s="523"/>
      <c r="M29" s="523"/>
      <c r="N29" s="523"/>
      <c r="O29" s="523"/>
      <c r="P29" s="523"/>
      <c r="Q29" s="523"/>
      <c r="R29" s="523"/>
      <c r="S29" s="523"/>
      <c r="T29" s="523"/>
      <c r="U29" s="523"/>
      <c r="V29" s="600"/>
      <c r="W29" s="600"/>
      <c r="X29" s="600"/>
      <c r="Y29" s="600"/>
    </row>
    <row r="30" spans="2:26" x14ac:dyDescent="0.2">
      <c r="B30" s="517" t="s">
        <v>3</v>
      </c>
      <c r="C30" s="517"/>
      <c r="D30" s="517"/>
      <c r="E30" s="517"/>
      <c r="F30" s="517"/>
      <c r="G30" s="517"/>
      <c r="H30" s="517"/>
      <c r="I30" s="517"/>
      <c r="J30" s="517"/>
      <c r="K30" s="252"/>
      <c r="L30" s="517" t="s">
        <v>72</v>
      </c>
      <c r="M30" s="517"/>
      <c r="N30" s="517"/>
      <c r="O30" s="517"/>
      <c r="P30" s="517"/>
      <c r="Q30" s="511" t="s">
        <v>4</v>
      </c>
      <c r="R30" s="511"/>
      <c r="S30" s="511"/>
      <c r="T30" s="511"/>
      <c r="U30" s="522" t="s">
        <v>40</v>
      </c>
      <c r="V30" s="600"/>
      <c r="W30" s="600"/>
      <c r="X30" s="600"/>
      <c r="Y30" s="600"/>
    </row>
    <row r="31" spans="2:26" ht="43.5" customHeight="1" x14ac:dyDescent="0.2">
      <c r="B31" s="250" t="s">
        <v>51</v>
      </c>
      <c r="C31" s="250" t="s">
        <v>12</v>
      </c>
      <c r="D31" s="250" t="s">
        <v>52</v>
      </c>
      <c r="E31" s="250" t="s">
        <v>24</v>
      </c>
      <c r="F31" s="250" t="s">
        <v>25</v>
      </c>
      <c r="G31" s="250" t="s">
        <v>26</v>
      </c>
      <c r="H31" s="250" t="s">
        <v>27</v>
      </c>
      <c r="I31" s="250" t="s">
        <v>28</v>
      </c>
      <c r="J31" s="250" t="s">
        <v>29</v>
      </c>
      <c r="K31" s="250" t="s">
        <v>47</v>
      </c>
      <c r="L31" s="255" t="s">
        <v>14</v>
      </c>
      <c r="M31" s="255" t="s">
        <v>31</v>
      </c>
      <c r="N31" s="255" t="s">
        <v>15</v>
      </c>
      <c r="O31" s="255" t="s">
        <v>16</v>
      </c>
      <c r="P31" s="250" t="s">
        <v>48</v>
      </c>
      <c r="Q31" s="255" t="s">
        <v>17</v>
      </c>
      <c r="R31" s="255" t="s">
        <v>18</v>
      </c>
      <c r="S31" s="255" t="s">
        <v>19</v>
      </c>
      <c r="T31" s="255" t="s">
        <v>361</v>
      </c>
      <c r="U31" s="522"/>
      <c r="V31" s="600"/>
      <c r="W31" s="600"/>
      <c r="X31" s="600"/>
      <c r="Y31" s="600"/>
    </row>
    <row r="32" spans="2:26" ht="114.75" customHeight="1" x14ac:dyDescent="0.2">
      <c r="B32" s="519" t="s">
        <v>156</v>
      </c>
      <c r="C32" s="246" t="s">
        <v>157</v>
      </c>
      <c r="D32" s="246" t="s">
        <v>158</v>
      </c>
      <c r="E32" s="247">
        <v>5</v>
      </c>
      <c r="F32" s="247">
        <v>5</v>
      </c>
      <c r="G32" s="247">
        <v>5</v>
      </c>
      <c r="H32" s="247">
        <v>5</v>
      </c>
      <c r="I32" s="249">
        <f>SUM(E32:H32)</f>
        <v>20</v>
      </c>
      <c r="J32" s="246" t="s">
        <v>112</v>
      </c>
      <c r="K32" s="246" t="s">
        <v>118</v>
      </c>
      <c r="L32" s="566">
        <v>10</v>
      </c>
      <c r="M32" s="502" t="s">
        <v>159</v>
      </c>
      <c r="N32" s="246" t="s">
        <v>158</v>
      </c>
      <c r="O32" s="247">
        <v>5</v>
      </c>
      <c r="P32" s="246" t="s">
        <v>160</v>
      </c>
      <c r="Q32" s="588">
        <f>SUM(R32+S32+T32)</f>
        <v>374800000</v>
      </c>
      <c r="R32" s="590">
        <f>503000000-42000000+6000000-66200000-26000000</f>
        <v>374800000</v>
      </c>
      <c r="S32" s="590">
        <v>0</v>
      </c>
      <c r="T32" s="590">
        <v>0</v>
      </c>
      <c r="U32" s="586">
        <v>0</v>
      </c>
      <c r="V32" s="369" t="s">
        <v>447</v>
      </c>
      <c r="W32" s="366" t="s">
        <v>656</v>
      </c>
      <c r="X32" s="550" t="s">
        <v>692</v>
      </c>
      <c r="Y32" s="550" t="s">
        <v>663</v>
      </c>
      <c r="Z32" s="543" t="s">
        <v>693</v>
      </c>
    </row>
    <row r="33" spans="2:26" ht="133.5" customHeight="1" x14ac:dyDescent="0.2">
      <c r="B33" s="519"/>
      <c r="C33" s="246" t="s">
        <v>161</v>
      </c>
      <c r="D33" s="246" t="s">
        <v>162</v>
      </c>
      <c r="E33" s="247">
        <v>5</v>
      </c>
      <c r="F33" s="247">
        <v>5</v>
      </c>
      <c r="G33" s="247">
        <v>5</v>
      </c>
      <c r="H33" s="247">
        <v>5</v>
      </c>
      <c r="I33" s="249">
        <f>SUM(E33:H33)</f>
        <v>20</v>
      </c>
      <c r="J33" s="246" t="s">
        <v>112</v>
      </c>
      <c r="K33" s="246" t="s">
        <v>118</v>
      </c>
      <c r="L33" s="571"/>
      <c r="M33" s="502"/>
      <c r="N33" s="246" t="s">
        <v>163</v>
      </c>
      <c r="O33" s="247">
        <v>5</v>
      </c>
      <c r="P33" s="246" t="s">
        <v>164</v>
      </c>
      <c r="Q33" s="589"/>
      <c r="R33" s="591"/>
      <c r="S33" s="591"/>
      <c r="T33" s="591"/>
      <c r="U33" s="587"/>
      <c r="V33" s="369" t="s">
        <v>448</v>
      </c>
      <c r="W33" s="366" t="s">
        <v>657</v>
      </c>
      <c r="X33" s="550"/>
      <c r="Y33" s="593"/>
      <c r="Z33" s="543"/>
    </row>
    <row r="34" spans="2:26" ht="179.25" customHeight="1" x14ac:dyDescent="0.2">
      <c r="B34" s="253" t="s">
        <v>165</v>
      </c>
      <c r="C34" s="246" t="s">
        <v>166</v>
      </c>
      <c r="D34" s="246" t="s">
        <v>167</v>
      </c>
      <c r="E34" s="247">
        <v>1</v>
      </c>
      <c r="F34" s="247">
        <v>0</v>
      </c>
      <c r="G34" s="247">
        <v>0</v>
      </c>
      <c r="H34" s="247">
        <v>0</v>
      </c>
      <c r="I34" s="249">
        <f>SUM(E34:H34)</f>
        <v>1</v>
      </c>
      <c r="J34" s="246" t="s">
        <v>112</v>
      </c>
      <c r="K34" s="246" t="s">
        <v>168</v>
      </c>
      <c r="L34" s="249">
        <v>11</v>
      </c>
      <c r="M34" s="149" t="s">
        <v>375</v>
      </c>
      <c r="N34" s="246" t="s">
        <v>115</v>
      </c>
      <c r="O34" s="82">
        <v>1</v>
      </c>
      <c r="P34" s="246" t="s">
        <v>169</v>
      </c>
      <c r="Q34" s="261">
        <f>R34+S34+T34</f>
        <v>36000000</v>
      </c>
      <c r="R34" s="251">
        <v>36000000</v>
      </c>
      <c r="S34" s="265">
        <v>0</v>
      </c>
      <c r="T34" s="265">
        <v>0</v>
      </c>
      <c r="U34" s="251">
        <v>0</v>
      </c>
      <c r="V34" s="369" t="s">
        <v>449</v>
      </c>
      <c r="W34" s="366" t="s">
        <v>658</v>
      </c>
      <c r="X34" s="366" t="s">
        <v>651</v>
      </c>
      <c r="Y34" s="366" t="s">
        <v>664</v>
      </c>
      <c r="Z34" s="380" t="s">
        <v>659</v>
      </c>
    </row>
    <row r="35" spans="2:26" ht="16.5" x14ac:dyDescent="0.25">
      <c r="B35" s="503" t="s">
        <v>53</v>
      </c>
      <c r="C35" s="503"/>
      <c r="D35" s="503"/>
      <c r="E35" s="503"/>
      <c r="F35" s="503"/>
      <c r="G35" s="503"/>
      <c r="H35" s="503"/>
      <c r="I35" s="503"/>
      <c r="J35" s="503"/>
      <c r="K35" s="503"/>
      <c r="L35" s="503"/>
      <c r="M35" s="503"/>
      <c r="N35" s="503"/>
      <c r="O35" s="503"/>
      <c r="P35" s="503"/>
      <c r="Q35" s="175">
        <f>SUM(R35:T35)</f>
        <v>2483443753</v>
      </c>
      <c r="R35" s="175">
        <f>SUBTOTAL(9,R11:R34)</f>
        <v>2183443753</v>
      </c>
      <c r="S35" s="175">
        <f>SUBTOTAL(9,S11:S34)</f>
        <v>0</v>
      </c>
      <c r="T35" s="175">
        <f>SUBTOTAL(9,T11:T34)</f>
        <v>300000000</v>
      </c>
      <c r="U35" s="175">
        <f>SUBTOTAL(9,U11:U34)</f>
        <v>452354732</v>
      </c>
    </row>
    <row r="36" spans="2:26" ht="16.5" x14ac:dyDescent="0.25">
      <c r="B36" s="477"/>
      <c r="C36" s="477"/>
      <c r="D36" s="477"/>
      <c r="E36" s="477"/>
      <c r="F36" s="477"/>
      <c r="G36" s="477"/>
      <c r="H36" s="477"/>
      <c r="I36" s="477"/>
      <c r="J36" s="477"/>
      <c r="K36" s="477"/>
      <c r="L36" s="477"/>
      <c r="M36" s="477"/>
      <c r="N36" s="477"/>
      <c r="O36" s="477"/>
      <c r="P36" s="477"/>
      <c r="Q36" s="478"/>
      <c r="R36" s="478"/>
      <c r="S36" s="478"/>
      <c r="T36" s="478"/>
      <c r="U36" s="478"/>
    </row>
    <row r="37" spans="2:26" ht="88.5" customHeight="1" x14ac:dyDescent="0.2">
      <c r="B37" s="597" t="s">
        <v>669</v>
      </c>
      <c r="C37" s="598"/>
      <c r="D37" s="598"/>
      <c r="E37" s="598"/>
      <c r="F37" s="598"/>
      <c r="G37" s="598"/>
      <c r="H37" s="598"/>
      <c r="I37" s="598"/>
      <c r="J37" s="598"/>
      <c r="K37" s="598"/>
      <c r="L37" s="598"/>
      <c r="M37" s="598"/>
      <c r="N37" s="598"/>
      <c r="O37" s="598"/>
      <c r="P37" s="598"/>
      <c r="Q37" s="598"/>
      <c r="R37" s="598"/>
      <c r="S37" s="598"/>
      <c r="T37" s="598"/>
      <c r="U37" s="598"/>
      <c r="X37" s="480"/>
    </row>
    <row r="38" spans="2:26" ht="237" customHeight="1" x14ac:dyDescent="0.2">
      <c r="B38" s="592" t="s">
        <v>668</v>
      </c>
      <c r="C38" s="592"/>
      <c r="D38" s="592"/>
      <c r="E38" s="592"/>
      <c r="F38" s="592"/>
      <c r="G38" s="592"/>
      <c r="H38" s="592"/>
      <c r="I38" s="592"/>
      <c r="J38" s="592"/>
      <c r="K38" s="592"/>
      <c r="L38" s="592"/>
      <c r="M38" s="592"/>
      <c r="N38" s="592"/>
      <c r="O38" s="592"/>
      <c r="P38" s="592"/>
      <c r="Q38" s="592"/>
      <c r="R38" s="592"/>
      <c r="S38" s="592"/>
      <c r="T38" s="592"/>
      <c r="U38" s="592"/>
    </row>
    <row r="39" spans="2:26" x14ac:dyDescent="0.2">
      <c r="B39" s="304" t="s">
        <v>394</v>
      </c>
    </row>
    <row r="40" spans="2:26" x14ac:dyDescent="0.2">
      <c r="P40" s="191"/>
    </row>
    <row r="41" spans="2:26" x14ac:dyDescent="0.2">
      <c r="B41" s="592"/>
      <c r="C41" s="592"/>
      <c r="D41" s="592"/>
      <c r="E41" s="592"/>
      <c r="F41" s="592"/>
      <c r="G41" s="592"/>
      <c r="H41" s="592"/>
      <c r="I41" s="592"/>
      <c r="J41" s="592"/>
      <c r="K41" s="592"/>
      <c r="M41" s="592"/>
      <c r="N41" s="592"/>
      <c r="O41" s="592"/>
      <c r="P41" s="592"/>
      <c r="Q41" s="592"/>
      <c r="S41" s="592"/>
      <c r="T41" s="592"/>
      <c r="U41" s="592"/>
    </row>
  </sheetData>
  <mergeCells count="104">
    <mergeCell ref="V12:V13"/>
    <mergeCell ref="V15:V16"/>
    <mergeCell ref="B37:U37"/>
    <mergeCell ref="Z12:Z13"/>
    <mergeCell ref="Z15:Z16"/>
    <mergeCell ref="Z20:Z22"/>
    <mergeCell ref="Z23:Z26"/>
    <mergeCell ref="V28:Y31"/>
    <mergeCell ref="Z32:Z33"/>
    <mergeCell ref="B15:B22"/>
    <mergeCell ref="C15:C16"/>
    <mergeCell ref="L15:L16"/>
    <mergeCell ref="M15:M16"/>
    <mergeCell ref="N15:N16"/>
    <mergeCell ref="H17:H18"/>
    <mergeCell ref="I17:I18"/>
    <mergeCell ref="J17:J18"/>
    <mergeCell ref="K17:K18"/>
    <mergeCell ref="N20:N22"/>
    <mergeCell ref="C17:C18"/>
    <mergeCell ref="D17:D18"/>
    <mergeCell ref="E17:E18"/>
    <mergeCell ref="F17:F18"/>
    <mergeCell ref="G17:G18"/>
    <mergeCell ref="Q12:Q13"/>
    <mergeCell ref="R12:R13"/>
    <mergeCell ref="S12:S13"/>
    <mergeCell ref="T12:T13"/>
    <mergeCell ref="B1:U1"/>
    <mergeCell ref="B2:U2"/>
    <mergeCell ref="P12:P13"/>
    <mergeCell ref="L3:U3"/>
    <mergeCell ref="L4:U4"/>
    <mergeCell ref="B7:U7"/>
    <mergeCell ref="B8:U8"/>
    <mergeCell ref="B9:U9"/>
    <mergeCell ref="B10:J10"/>
    <mergeCell ref="L10:P10"/>
    <mergeCell ref="Q10:T10"/>
    <mergeCell ref="U10:U11"/>
    <mergeCell ref="U12:U13"/>
    <mergeCell ref="O12:O13"/>
    <mergeCell ref="B12:B14"/>
    <mergeCell ref="L12:L13"/>
    <mergeCell ref="M12:M13"/>
    <mergeCell ref="N12:N13"/>
    <mergeCell ref="U15:U16"/>
    <mergeCell ref="P15:P16"/>
    <mergeCell ref="Q15:Q16"/>
    <mergeCell ref="R15:R16"/>
    <mergeCell ref="S15:S16"/>
    <mergeCell ref="T15:T16"/>
    <mergeCell ref="O15:O16"/>
    <mergeCell ref="S23:S26"/>
    <mergeCell ref="L20:L22"/>
    <mergeCell ref="M20:M22"/>
    <mergeCell ref="B38:U38"/>
    <mergeCell ref="B32:B33"/>
    <mergeCell ref="L32:L33"/>
    <mergeCell ref="M32:M33"/>
    <mergeCell ref="Q32:Q33"/>
    <mergeCell ref="R32:R33"/>
    <mergeCell ref="S32:S33"/>
    <mergeCell ref="O20:O22"/>
    <mergeCell ref="T23:T26"/>
    <mergeCell ref="U23:U26"/>
    <mergeCell ref="B28:U28"/>
    <mergeCell ref="B29:U29"/>
    <mergeCell ref="P20:P22"/>
    <mergeCell ref="Q20:Q22"/>
    <mergeCell ref="B30:J30"/>
    <mergeCell ref="L30:P30"/>
    <mergeCell ref="Q30:T30"/>
    <mergeCell ref="U30:U31"/>
    <mergeCell ref="R20:R22"/>
    <mergeCell ref="S20:S22"/>
    <mergeCell ref="T20:T22"/>
    <mergeCell ref="U20:U22"/>
    <mergeCell ref="B23:B27"/>
    <mergeCell ref="L23:L26"/>
    <mergeCell ref="B41:K41"/>
    <mergeCell ref="M41:Q41"/>
    <mergeCell ref="S41:U41"/>
    <mergeCell ref="W9:Y9"/>
    <mergeCell ref="W12:W13"/>
    <mergeCell ref="W15:W16"/>
    <mergeCell ref="X12:X13"/>
    <mergeCell ref="Y12:Y13"/>
    <mergeCell ref="X15:X16"/>
    <mergeCell ref="Y15:Y16"/>
    <mergeCell ref="W10:X10"/>
    <mergeCell ref="Y10:Y11"/>
    <mergeCell ref="X20:X22"/>
    <mergeCell ref="Y20:Y22"/>
    <mergeCell ref="X23:X26"/>
    <mergeCell ref="Y23:Y26"/>
    <mergeCell ref="X32:X33"/>
    <mergeCell ref="Y32:Y33"/>
    <mergeCell ref="T32:T33"/>
    <mergeCell ref="U32:U33"/>
    <mergeCell ref="B35:P35"/>
    <mergeCell ref="M23:M26"/>
    <mergeCell ref="Q23:Q26"/>
    <mergeCell ref="R23:R26"/>
  </mergeCells>
  <conditionalFormatting sqref="O19">
    <cfRule type="expression" dxfId="230" priority="7" stopIfTrue="1">
      <formula>+IF((#REF!+#REF!+#REF!+#REF!+#REF!)&lt;&gt;$L20,1,0)</formula>
    </cfRule>
  </conditionalFormatting>
  <conditionalFormatting sqref="E12:H13">
    <cfRule type="expression" dxfId="229" priority="68" stopIfTrue="1">
      <formula>+IF((#REF!+#REF!+#REF!+#REF!+#REF!)&lt;&gt;$L12,1,0)</formula>
    </cfRule>
  </conditionalFormatting>
  <conditionalFormatting sqref="E34">
    <cfRule type="expression" dxfId="228" priority="67" stopIfTrue="1">
      <formula>+IF((#REF!+#REF!+#REF!+#REF!+#REF!)&lt;&gt;$L34,1,0)</formula>
    </cfRule>
  </conditionalFormatting>
  <conditionalFormatting sqref="C12:C13">
    <cfRule type="expression" dxfId="227" priority="66" stopIfTrue="1">
      <formula>+IF((#REF!+#REF!+#REF!+#REF!+#REF!)&lt;&gt;$M12,1,0)</formula>
    </cfRule>
  </conditionalFormatting>
  <conditionalFormatting sqref="D12:D13">
    <cfRule type="expression" dxfId="226" priority="65" stopIfTrue="1">
      <formula>+IF((#REF!+#REF!+#REF!+#REF!+#REF!)&lt;&gt;$M12,1,0)</formula>
    </cfRule>
  </conditionalFormatting>
  <conditionalFormatting sqref="C12:C13">
    <cfRule type="expression" dxfId="225" priority="64" stopIfTrue="1">
      <formula>+IF((#REF!+#REF!+#REF!+#REF!+#REF!)&lt;&gt;$M12,1,0)</formula>
    </cfRule>
  </conditionalFormatting>
  <conditionalFormatting sqref="D12:D13">
    <cfRule type="expression" dxfId="224" priority="63" stopIfTrue="1">
      <formula>+IF((#REF!+#REF!+#REF!+#REF!+#REF!)&lt;&gt;$M12,1,0)</formula>
    </cfRule>
  </conditionalFormatting>
  <conditionalFormatting sqref="E12:H13">
    <cfRule type="expression" dxfId="223" priority="62" stopIfTrue="1">
      <formula>+IF((#REF!+#REF!+#REF!+#REF!+#REF!)&lt;&gt;$L12,1,0)</formula>
    </cfRule>
  </conditionalFormatting>
  <conditionalFormatting sqref="F15:H16">
    <cfRule type="expression" dxfId="222" priority="61" stopIfTrue="1">
      <formula>+IF((#REF!+#REF!+#REF!+#REF!+#REF!)&lt;&gt;$M15,1,0)</formula>
    </cfRule>
  </conditionalFormatting>
  <conditionalFormatting sqref="D15:E16">
    <cfRule type="expression" dxfId="221" priority="60" stopIfTrue="1">
      <formula>+IF((#REF!+#REF!+#REF!+#REF!+#REF!)&lt;&gt;$N15,1,0)</formula>
    </cfRule>
  </conditionalFormatting>
  <conditionalFormatting sqref="E15:H16">
    <cfRule type="expression" dxfId="220" priority="59" stopIfTrue="1">
      <formula>+IF((#REF!+#REF!+#REF!+#REF!+#REF!)&lt;&gt;$M15,1,0)</formula>
    </cfRule>
  </conditionalFormatting>
  <conditionalFormatting sqref="N14:N15">
    <cfRule type="expression" dxfId="219" priority="58" stopIfTrue="1">
      <formula>+IF((#REF!+#REF!+#REF!+#REF!+#REF!)&lt;&gt;$M14,1,0)</formula>
    </cfRule>
  </conditionalFormatting>
  <conditionalFormatting sqref="E34">
    <cfRule type="expression" dxfId="218" priority="57" stopIfTrue="1">
      <formula>+IF((#REF!+#REF!+#REF!+#REF!+#REF!)&lt;&gt;$L34,1,0)</formula>
    </cfRule>
  </conditionalFormatting>
  <conditionalFormatting sqref="F20:H20 F22:H22">
    <cfRule type="expression" dxfId="217" priority="56" stopIfTrue="1">
      <formula>+IF((#REF!+#REF!+#REF!+#REF!+#REF!)&lt;&gt;$M20,1,0)</formula>
    </cfRule>
  </conditionalFormatting>
  <conditionalFormatting sqref="D20:E20 D22:E22">
    <cfRule type="expression" dxfId="216" priority="55" stopIfTrue="1">
      <formula>+IF((#REF!+#REF!+#REF!+#REF!+#REF!)&lt;&gt;$N20,1,0)</formula>
    </cfRule>
  </conditionalFormatting>
  <conditionalFormatting sqref="E20:H20 E22:H22">
    <cfRule type="expression" dxfId="215" priority="54" stopIfTrue="1">
      <formula>+IF((#REF!+#REF!+#REF!+#REF!+#REF!)&lt;&gt;$M20,1,0)</formula>
    </cfRule>
  </conditionalFormatting>
  <conditionalFormatting sqref="E26:H26">
    <cfRule type="expression" dxfId="214" priority="53" stopIfTrue="1">
      <formula>+IF((#REF!+#REF!+#REF!+#REF!+#REF!)&lt;&gt;$L26,1,0)</formula>
    </cfRule>
  </conditionalFormatting>
  <conditionalFormatting sqref="C26:D26">
    <cfRule type="expression" dxfId="213" priority="52" stopIfTrue="1">
      <formula>+IF((#REF!+#REF!+#REF!+#REF!+#REF!)&lt;&gt;$M26,1,0)</formula>
    </cfRule>
  </conditionalFormatting>
  <conditionalFormatting sqref="E26:H26">
    <cfRule type="expression" dxfId="212" priority="51" stopIfTrue="1">
      <formula>+IF((#REF!+#REF!+#REF!+#REF!+#REF!)&lt;&gt;$L26,1,0)</formula>
    </cfRule>
  </conditionalFormatting>
  <conditionalFormatting sqref="F23:H23">
    <cfRule type="expression" dxfId="211" priority="50" stopIfTrue="1">
      <formula>+IF((#REF!+#REF!+#REF!+#REF!+#REF!)&lt;&gt;$M23,1,0)</formula>
    </cfRule>
  </conditionalFormatting>
  <conditionalFormatting sqref="E23">
    <cfRule type="expression" dxfId="210" priority="49" stopIfTrue="1">
      <formula>+IF((#REF!+#REF!+#REF!+#REF!+#REF!)&lt;&gt;$N23,1,0)</formula>
    </cfRule>
  </conditionalFormatting>
  <conditionalFormatting sqref="E23:H23">
    <cfRule type="expression" dxfId="209" priority="48" stopIfTrue="1">
      <formula>+IF((#REF!+#REF!+#REF!+#REF!+#REF!)&lt;&gt;$M23,1,0)</formula>
    </cfRule>
  </conditionalFormatting>
  <conditionalFormatting sqref="C23">
    <cfRule type="expression" dxfId="208" priority="47" stopIfTrue="1">
      <formula>+IF((#REF!+#REF!+#REF!+#REF!+#REF!)&lt;&gt;$M23,1,0)</formula>
    </cfRule>
  </conditionalFormatting>
  <conditionalFormatting sqref="D23">
    <cfRule type="expression" dxfId="207" priority="46" stopIfTrue="1">
      <formula>+IF((#REF!+#REF!+#REF!+#REF!+#REF!)&lt;&gt;$M23,1,0)</formula>
    </cfRule>
  </conditionalFormatting>
  <conditionalFormatting sqref="F34:H34">
    <cfRule type="expression" dxfId="206" priority="45" stopIfTrue="1">
      <formula>+IF((#REF!+#REF!+#REF!+#REF!+#REF!)&lt;&gt;$L34,1,0)</formula>
    </cfRule>
  </conditionalFormatting>
  <conditionalFormatting sqref="F34:H34">
    <cfRule type="expression" dxfId="205" priority="44" stopIfTrue="1">
      <formula>+IF((#REF!+#REF!+#REF!+#REF!+#REF!)&lt;&gt;$L34,1,0)</formula>
    </cfRule>
  </conditionalFormatting>
  <conditionalFormatting sqref="N17:N18">
    <cfRule type="expression" dxfId="204" priority="40" stopIfTrue="1">
      <formula>+IF((#REF!+#REF!+#REF!+#REF!+#REF!)&lt;&gt;$N17,1,0)</formula>
    </cfRule>
  </conditionalFormatting>
  <conditionalFormatting sqref="E17:H17">
    <cfRule type="expression" dxfId="203" priority="41" stopIfTrue="1">
      <formula>+IF((#REF!+#REF!+#REF!+#REF!+#REF!)&lt;&gt;$M17,1,0)</formula>
    </cfRule>
  </conditionalFormatting>
  <conditionalFormatting sqref="F17:H17">
    <cfRule type="expression" dxfId="202" priority="43" stopIfTrue="1">
      <formula>+IF((#REF!+#REF!+#REF!+#REF!+#REF!)&lt;&gt;$M17,1,0)</formula>
    </cfRule>
  </conditionalFormatting>
  <conditionalFormatting sqref="D17:E17">
    <cfRule type="expression" dxfId="201" priority="42" stopIfTrue="1">
      <formula>+IF((#REF!+#REF!+#REF!+#REF!+#REF!)&lt;&gt;$N17,1,0)</formula>
    </cfRule>
  </conditionalFormatting>
  <conditionalFormatting sqref="E24:H24">
    <cfRule type="expression" dxfId="200" priority="39" stopIfTrue="1">
      <formula>+IF((#REF!+#REF!+#REF!+#REF!+#REF!)&lt;&gt;$L24,1,0)</formula>
    </cfRule>
  </conditionalFormatting>
  <conditionalFormatting sqref="C24">
    <cfRule type="expression" dxfId="199" priority="38" stopIfTrue="1">
      <formula>+IF((#REF!+#REF!+#REF!+#REF!+#REF!)&lt;&gt;$M24,1,0)</formula>
    </cfRule>
  </conditionalFormatting>
  <conditionalFormatting sqref="D24">
    <cfRule type="expression" dxfId="198" priority="37" stopIfTrue="1">
      <formula>+IF((#REF!+#REF!+#REF!+#REF!+#REF!)&lt;&gt;$M24,1,0)</formula>
    </cfRule>
  </conditionalFormatting>
  <conditionalFormatting sqref="E24:H24">
    <cfRule type="expression" dxfId="197" priority="36" stopIfTrue="1">
      <formula>+IF((#REF!+#REF!+#REF!+#REF!+#REF!)&lt;&gt;$L24,1,0)</formula>
    </cfRule>
  </conditionalFormatting>
  <conditionalFormatting sqref="E24:H24">
    <cfRule type="expression" dxfId="196" priority="35" stopIfTrue="1">
      <formula>+IF((#REF!+#REF!+#REF!+#REF!+#REF!)&lt;&gt;$L24,1,0)</formula>
    </cfRule>
  </conditionalFormatting>
  <conditionalFormatting sqref="C24">
    <cfRule type="expression" dxfId="195" priority="34" stopIfTrue="1">
      <formula>+IF((#REF!+#REF!+#REF!+#REF!+#REF!)&lt;&gt;$M24,1,0)</formula>
    </cfRule>
  </conditionalFormatting>
  <conditionalFormatting sqref="D24">
    <cfRule type="expression" dxfId="194" priority="33" stopIfTrue="1">
      <formula>+IF((#REF!+#REF!+#REF!+#REF!+#REF!)&lt;&gt;$M24,1,0)</formula>
    </cfRule>
  </conditionalFormatting>
  <conditionalFormatting sqref="F27:H27">
    <cfRule type="expression" dxfId="193" priority="32" stopIfTrue="1">
      <formula>+IF((#REF!+#REF!+#REF!+#REF!+#REF!)&lt;&gt;$M27,1,0)</formula>
    </cfRule>
  </conditionalFormatting>
  <conditionalFormatting sqref="E27">
    <cfRule type="expression" dxfId="192" priority="31" stopIfTrue="1">
      <formula>+IF((#REF!+#REF!+#REF!+#REF!+#REF!)&lt;&gt;$N27,1,0)</formula>
    </cfRule>
  </conditionalFormatting>
  <conditionalFormatting sqref="E27:H27">
    <cfRule type="expression" dxfId="191" priority="30" stopIfTrue="1">
      <formula>+IF((#REF!+#REF!+#REF!+#REF!+#REF!)&lt;&gt;$M27,1,0)</formula>
    </cfRule>
  </conditionalFormatting>
  <conditionalFormatting sqref="C27">
    <cfRule type="expression" dxfId="190" priority="29" stopIfTrue="1">
      <formula>+IF((#REF!+#REF!+#REF!+#REF!+#REF!)&lt;&gt;$M27,1,0)</formula>
    </cfRule>
  </conditionalFormatting>
  <conditionalFormatting sqref="D27">
    <cfRule type="expression" dxfId="189" priority="28" stopIfTrue="1">
      <formula>+IF((#REF!+#REF!+#REF!+#REF!+#REF!)&lt;&gt;$M27,1,0)</formula>
    </cfRule>
  </conditionalFormatting>
  <conditionalFormatting sqref="E25:H25">
    <cfRule type="expression" dxfId="188" priority="27" stopIfTrue="1">
      <formula>+IF((#REF!+#REF!+#REF!+#REF!+#REF!)&lt;&gt;$L25,1,0)</formula>
    </cfRule>
  </conditionalFormatting>
  <conditionalFormatting sqref="C25:D25">
    <cfRule type="expression" dxfId="187" priority="26" stopIfTrue="1">
      <formula>+IF((#REF!+#REF!+#REF!+#REF!+#REF!)&lt;&gt;$M25,1,0)</formula>
    </cfRule>
  </conditionalFormatting>
  <conditionalFormatting sqref="E25:H25">
    <cfRule type="expression" dxfId="186" priority="25" stopIfTrue="1">
      <formula>+IF((#REF!+#REF!+#REF!+#REF!+#REF!)&lt;&gt;$L25,1,0)</formula>
    </cfRule>
  </conditionalFormatting>
  <conditionalFormatting sqref="G25">
    <cfRule type="expression" dxfId="185" priority="24" stopIfTrue="1">
      <formula>+IF((#REF!+#REF!+#REF!+#REF!+#REF!)&lt;&gt;$L25,1,0)</formula>
    </cfRule>
  </conditionalFormatting>
  <conditionalFormatting sqref="G25">
    <cfRule type="expression" dxfId="184" priority="23" stopIfTrue="1">
      <formula>+IF((#REF!+#REF!+#REF!+#REF!+#REF!)&lt;&gt;$L25,1,0)</formula>
    </cfRule>
  </conditionalFormatting>
  <conditionalFormatting sqref="H25">
    <cfRule type="expression" dxfId="183" priority="22" stopIfTrue="1">
      <formula>+IF((#REF!+#REF!+#REF!+#REF!+#REF!)&lt;&gt;$L25,1,0)</formula>
    </cfRule>
  </conditionalFormatting>
  <conditionalFormatting sqref="H25">
    <cfRule type="expression" dxfId="182" priority="21" stopIfTrue="1">
      <formula>+IF((#REF!+#REF!+#REF!+#REF!+#REF!)&lt;&gt;$L25,1,0)</formula>
    </cfRule>
  </conditionalFormatting>
  <conditionalFormatting sqref="M25">
    <cfRule type="expression" dxfId="181" priority="20" stopIfTrue="1">
      <formula>+IF((#REF!+#REF!+#REF!+#REF!+#REF!)&lt;&gt;$M25,1,0)</formula>
    </cfRule>
  </conditionalFormatting>
  <conditionalFormatting sqref="N23:N25">
    <cfRule type="expression" dxfId="180" priority="19" stopIfTrue="1">
      <formula>+IF((#REF!+#REF!+#REF!+#REF!+#REF!)&lt;&gt;$M23,1,0)</formula>
    </cfRule>
  </conditionalFormatting>
  <conditionalFormatting sqref="O23:O25">
    <cfRule type="expression" dxfId="179" priority="18" stopIfTrue="1">
      <formula>+IF((#REF!+#REF!+#REF!+#REF!+#REF!)&lt;&gt;$L23,1,0)</formula>
    </cfRule>
  </conditionalFormatting>
  <conditionalFormatting sqref="O23:O25">
    <cfRule type="expression" dxfId="178" priority="17" stopIfTrue="1">
      <formula>+IF((#REF!+#REF!+#REF!+#REF!+#REF!)&lt;&gt;$L23,1,0)</formula>
    </cfRule>
  </conditionalFormatting>
  <conditionalFormatting sqref="F19:H19">
    <cfRule type="expression" dxfId="177" priority="16" stopIfTrue="1">
      <formula>+IF((#REF!+#REF!+#REF!+#REF!+#REF!)&lt;&gt;$M19,1,0)</formula>
    </cfRule>
  </conditionalFormatting>
  <conditionalFormatting sqref="D19:E19">
    <cfRule type="expression" dxfId="176" priority="15" stopIfTrue="1">
      <formula>+IF((#REF!+#REF!+#REF!+#REF!+#REF!)&lt;&gt;$N19,1,0)</formula>
    </cfRule>
  </conditionalFormatting>
  <conditionalFormatting sqref="E19:H19">
    <cfRule type="expression" dxfId="175" priority="14" stopIfTrue="1">
      <formula>+IF((#REF!+#REF!+#REF!+#REF!+#REF!)&lt;&gt;$M19,1,0)</formula>
    </cfRule>
  </conditionalFormatting>
  <conditionalFormatting sqref="N26">
    <cfRule type="expression" dxfId="174" priority="13" stopIfTrue="1">
      <formula>+IF((#REF!+#REF!+#REF!+#REF!+#REF!)&lt;&gt;$M26,1,0)</formula>
    </cfRule>
  </conditionalFormatting>
  <conditionalFormatting sqref="F21:H21">
    <cfRule type="expression" dxfId="173" priority="12" stopIfTrue="1">
      <formula>+IF((#REF!+#REF!+#REF!+#REF!+#REF!)&lt;&gt;$M21,1,0)</formula>
    </cfRule>
  </conditionalFormatting>
  <conditionalFormatting sqref="D21:E21">
    <cfRule type="expression" dxfId="172" priority="11" stopIfTrue="1">
      <formula>+IF((#REF!+#REF!+#REF!+#REF!+#REF!)&lt;&gt;$N21,1,0)</formula>
    </cfRule>
  </conditionalFormatting>
  <conditionalFormatting sqref="E21:H21">
    <cfRule type="expression" dxfId="171" priority="10" stopIfTrue="1">
      <formula>+IF((#REF!+#REF!+#REF!+#REF!+#REF!)&lt;&gt;$M21,1,0)</formula>
    </cfRule>
  </conditionalFormatting>
  <conditionalFormatting sqref="N19">
    <cfRule type="expression" dxfId="170" priority="9" stopIfTrue="1">
      <formula>+IF((#REF!+#REF!+#REF!+#REF!+#REF!)&lt;&gt;$M20,1,0)</formula>
    </cfRule>
  </conditionalFormatting>
  <conditionalFormatting sqref="O19">
    <cfRule type="expression" dxfId="169" priority="8" stopIfTrue="1">
      <formula>+IF((#REF!+#REF!+#REF!+#REF!+#REF!)&lt;&gt;$L20,1,0)</formula>
    </cfRule>
  </conditionalFormatting>
  <conditionalFormatting sqref="N12">
    <cfRule type="expression" dxfId="168" priority="69" stopIfTrue="1">
      <formula>+IF((#REF!+#REF!+#REF!+#REF!+#REF!)&lt;&gt;#REF!,1,0)</formula>
    </cfRule>
  </conditionalFormatting>
  <conditionalFormatting sqref="E33">
    <cfRule type="expression" dxfId="167" priority="70" stopIfTrue="1">
      <formula>+IF((#REF!+#REF!+#REF!+#REF!+#REF!)&lt;&gt;$L32,1,0)</formula>
    </cfRule>
  </conditionalFormatting>
  <conditionalFormatting sqref="E32">
    <cfRule type="expression" dxfId="166" priority="71" stopIfTrue="1">
      <formula>+IF((#REF!+#REF!+#REF!+#REF!+#REF!)&lt;&gt;#REF!,1,0)</formula>
    </cfRule>
  </conditionalFormatting>
  <conditionalFormatting sqref="E32">
    <cfRule type="expression" dxfId="165" priority="72" stopIfTrue="1">
      <formula>+IF((#REF!+#REF!+#REF!+#REF!+#REF!)&lt;&gt;#REF!,1,0)</formula>
    </cfRule>
  </conditionalFormatting>
  <conditionalFormatting sqref="E33">
    <cfRule type="expression" dxfId="164" priority="73" stopIfTrue="1">
      <formula>+IF((#REF!+#REF!+#REF!+#REF!+#REF!)&lt;&gt;$L32,1,0)</formula>
    </cfRule>
  </conditionalFormatting>
  <conditionalFormatting sqref="F33:H33">
    <cfRule type="expression" dxfId="163" priority="74" stopIfTrue="1">
      <formula>+IF((#REF!+#REF!+#REF!+#REF!+#REF!)&lt;&gt;$L32,1,0)</formula>
    </cfRule>
  </conditionalFormatting>
  <conditionalFormatting sqref="F32:H32">
    <cfRule type="expression" dxfId="162" priority="75" stopIfTrue="1">
      <formula>+IF((#REF!+#REF!+#REF!+#REF!+#REF!)&lt;&gt;#REF!,1,0)</formula>
    </cfRule>
  </conditionalFormatting>
  <conditionalFormatting sqref="F32:H32">
    <cfRule type="expression" dxfId="161" priority="76" stopIfTrue="1">
      <formula>+IF((#REF!+#REF!+#REF!+#REF!+#REF!)&lt;&gt;#REF!,1,0)</formula>
    </cfRule>
  </conditionalFormatting>
  <conditionalFormatting sqref="F33:H33">
    <cfRule type="expression" dxfId="160" priority="77" stopIfTrue="1">
      <formula>+IF((#REF!+#REF!+#REF!+#REF!+#REF!)&lt;&gt;$L32,1,0)</formula>
    </cfRule>
  </conditionalFormatting>
  <conditionalFormatting sqref="O32">
    <cfRule type="expression" dxfId="159" priority="78" stopIfTrue="1">
      <formula>+IF((#REF!+#REF!+#REF!+#REF!+#REF!)&lt;&gt;#REF!,1,0)</formula>
    </cfRule>
  </conditionalFormatting>
  <conditionalFormatting sqref="O33">
    <cfRule type="expression" dxfId="158" priority="79" stopIfTrue="1">
      <formula>+IF((#REF!+#REF!+#REF!+#REF!+#REF!)&lt;&gt;$L32,1,0)</formula>
    </cfRule>
  </conditionalFormatting>
  <conditionalFormatting sqref="C14">
    <cfRule type="expression" dxfId="157" priority="6" stopIfTrue="1">
      <formula>+IF((#REF!+#REF!+#REF!+#REF!+#REF!)&lt;&gt;$M14,1,0)</formula>
    </cfRule>
  </conditionalFormatting>
  <conditionalFormatting sqref="C14">
    <cfRule type="expression" dxfId="156" priority="5" stopIfTrue="1">
      <formula>+IF((#REF!+#REF!+#REF!+#REF!+#REF!)&lt;&gt;$M14,1,0)</formula>
    </cfRule>
  </conditionalFormatting>
  <conditionalFormatting sqref="D14">
    <cfRule type="expression" dxfId="155" priority="4" stopIfTrue="1">
      <formula>+IF((#REF!+#REF!+#REF!+#REF!+#REF!)&lt;&gt;$M14,1,0)</formula>
    </cfRule>
  </conditionalFormatting>
  <conditionalFormatting sqref="D14">
    <cfRule type="expression" dxfId="154" priority="3" stopIfTrue="1">
      <formula>+IF((#REF!+#REF!+#REF!+#REF!+#REF!)&lt;&gt;$M14,1,0)</formula>
    </cfRule>
  </conditionalFormatting>
  <conditionalFormatting sqref="E14:H14">
    <cfRule type="expression" dxfId="153" priority="2" stopIfTrue="1">
      <formula>+IF((#REF!+#REF!+#REF!+#REF!+#REF!)&lt;&gt;$L14,1,0)</formula>
    </cfRule>
  </conditionalFormatting>
  <conditionalFormatting sqref="E14:H14">
    <cfRule type="expression" dxfId="152" priority="1" stopIfTrue="1">
      <formula>+IF((#REF!+#REF!+#REF!+#REF!+#REF!)&lt;&gt;$L14,1,0)</formula>
    </cfRule>
  </conditionalFormatting>
  <dataValidations count="6">
    <dataValidation type="list" allowBlank="1" showInputMessage="1" showErrorMessage="1" sqref="P32:P34">
      <formula1>$Q$51:$Q$76</formula1>
    </dataValidation>
    <dataValidation type="list" allowBlank="1" showInputMessage="1" showErrorMessage="1" sqref="J32:J34 J12:J17 J25:J27 J19:J23">
      <formula1>$U$46:$U$54</formula1>
    </dataValidation>
    <dataValidation type="list" allowBlank="1" showInputMessage="1" showErrorMessage="1" sqref="K32:K34 K12:K17 K25:K27 K19:K20 K22:K23">
      <formula1>$I$40:$I$44</formula1>
    </dataValidation>
    <dataValidation type="list" allowBlank="1" showInputMessage="1" showErrorMessage="1" sqref="P23:P27 P14:P15 P12 P17:P19">
      <formula1>$Q$46:$Q$71</formula1>
    </dataValidation>
    <dataValidation type="list" allowBlank="1" showInputMessage="1" showErrorMessage="1" sqref="J24">
      <formula1>$U$40:$U$48</formula1>
    </dataValidation>
    <dataValidation type="list" allowBlank="1" showInputMessage="1" showErrorMessage="1" sqref="K24 K21">
      <formula1>$I$37:$I$39</formula1>
    </dataValidation>
  </dataValidations>
  <pageMargins left="0.7" right="0.7" top="0.75" bottom="0.75" header="0.3" footer="0.3"/>
  <pageSetup orientation="portrait" verticalDpi="300"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AH52"/>
  <sheetViews>
    <sheetView topLeftCell="H39" zoomScale="80" zoomScaleNormal="80" zoomScalePageLayoutView="70" workbookViewId="0">
      <selection activeCell="I49" sqref="I49"/>
    </sheetView>
  </sheetViews>
  <sheetFormatPr baseColWidth="10" defaultColWidth="11.42578125" defaultRowHeight="11.25" x14ac:dyDescent="0.2"/>
  <cols>
    <col min="1" max="1" width="4.7109375" style="1" hidden="1" customWidth="1"/>
    <col min="2" max="2" width="22.85546875" style="2" hidden="1" customWidth="1"/>
    <col min="3" max="5" width="22.7109375" style="2" hidden="1" customWidth="1"/>
    <col min="6" max="6" width="10.140625" style="3" hidden="1" customWidth="1"/>
    <col min="7" max="7" width="7.140625" style="2" hidden="1" customWidth="1"/>
    <col min="8" max="8" width="14.5703125" style="2" customWidth="1"/>
    <col min="9" max="9" width="46.7109375" style="2" customWidth="1"/>
    <col min="10" max="10" width="40.140625" style="4" customWidth="1"/>
    <col min="11" max="11" width="29.85546875" style="5" customWidth="1"/>
    <col min="12" max="15" width="9.5703125" style="6" customWidth="1"/>
    <col min="16" max="16" width="15.28515625" style="7" customWidth="1"/>
    <col min="17" max="17" width="27.28515625" style="8" customWidth="1"/>
    <col min="18" max="18" width="37.140625" style="8" customWidth="1"/>
    <col min="19" max="19" width="11.42578125" style="6" customWidth="1"/>
    <col min="20" max="20" width="68.7109375" style="9" customWidth="1"/>
    <col min="21" max="21" width="21" style="9" customWidth="1"/>
    <col min="22" max="22" width="14" style="9" customWidth="1"/>
    <col min="23" max="23" width="40.28515625" style="9" customWidth="1"/>
    <col min="24" max="24" width="32.28515625" style="9" customWidth="1"/>
    <col min="25" max="25" width="30.28515625" style="9" customWidth="1"/>
    <col min="26" max="26" width="32.85546875" style="9" customWidth="1"/>
    <col min="27" max="27" width="25.85546875" style="9" customWidth="1"/>
    <col min="28" max="28" width="17.28515625" style="9" hidden="1" customWidth="1"/>
    <col min="29" max="29" width="30.42578125" style="9" customWidth="1"/>
    <col min="30" max="31" width="11.42578125" style="9" customWidth="1"/>
    <col min="32" max="32" width="18" style="9" bestFit="1" customWidth="1"/>
    <col min="33" max="33" width="11.42578125" style="9"/>
    <col min="34" max="34" width="27.42578125" style="9" bestFit="1" customWidth="1"/>
    <col min="35" max="16384" width="11.42578125" style="9"/>
  </cols>
  <sheetData>
    <row r="2" spans="1:29" ht="36" customHeight="1" x14ac:dyDescent="0.2">
      <c r="Q2" s="178"/>
      <c r="U2" s="620" t="s">
        <v>0</v>
      </c>
      <c r="V2" s="620"/>
      <c r="W2" s="620"/>
      <c r="X2" s="620"/>
      <c r="Y2" s="620"/>
      <c r="Z2" s="620"/>
      <c r="AA2" s="620"/>
      <c r="AB2" s="620"/>
      <c r="AC2" s="620"/>
    </row>
    <row r="3" spans="1:29" ht="23.25" customHeight="1" x14ac:dyDescent="0.25">
      <c r="A3" s="10" t="s">
        <v>1</v>
      </c>
      <c r="F3" s="2"/>
      <c r="J3" s="8"/>
      <c r="K3" s="8"/>
      <c r="M3" s="11"/>
      <c r="Q3" s="31"/>
      <c r="T3" s="6"/>
      <c r="U3" s="621" t="s">
        <v>49</v>
      </c>
      <c r="V3" s="621"/>
      <c r="W3" s="621"/>
      <c r="X3" s="621"/>
      <c r="Y3" s="621"/>
      <c r="Z3" s="621"/>
      <c r="AA3" s="621"/>
      <c r="AB3" s="621"/>
      <c r="AC3" s="621"/>
    </row>
    <row r="4" spans="1:29" ht="23.25" customHeight="1" x14ac:dyDescent="0.25">
      <c r="A4" s="10"/>
      <c r="F4" s="2"/>
      <c r="I4" s="13"/>
      <c r="J4" s="13"/>
      <c r="K4" s="13"/>
      <c r="L4" s="13"/>
      <c r="M4" s="13"/>
      <c r="N4" s="13"/>
      <c r="O4" s="13"/>
      <c r="P4" s="13"/>
      <c r="Q4" s="13"/>
      <c r="R4" s="13"/>
      <c r="S4" s="13"/>
      <c r="T4" s="13"/>
      <c r="U4" s="622" t="s">
        <v>49</v>
      </c>
      <c r="V4" s="622"/>
      <c r="W4" s="622"/>
      <c r="X4" s="622"/>
      <c r="Y4" s="622"/>
      <c r="Z4" s="622"/>
      <c r="AA4" s="622"/>
      <c r="AB4" s="622"/>
      <c r="AC4" s="622"/>
    </row>
    <row r="5" spans="1:29" ht="12" customHeight="1" x14ac:dyDescent="0.25">
      <c r="A5" s="10"/>
      <c r="F5" s="2"/>
      <c r="I5" s="13"/>
      <c r="J5" s="13"/>
      <c r="K5" s="13"/>
      <c r="L5" s="13"/>
      <c r="M5" s="13"/>
      <c r="N5" s="13"/>
      <c r="O5" s="13"/>
      <c r="P5" s="13"/>
      <c r="Q5" s="13"/>
      <c r="R5" s="13"/>
      <c r="S5" s="13"/>
      <c r="T5" s="13"/>
      <c r="U5" s="13"/>
      <c r="V5" s="13"/>
      <c r="W5" s="13"/>
      <c r="X5" s="13"/>
      <c r="Y5" s="13"/>
      <c r="Z5" s="13"/>
      <c r="AA5" s="13"/>
      <c r="AB5" s="13"/>
    </row>
    <row r="6" spans="1:29" ht="31.5" customHeight="1" x14ac:dyDescent="0.3">
      <c r="A6" s="18"/>
      <c r="B6" s="19"/>
      <c r="C6" s="19"/>
      <c r="D6" s="19"/>
      <c r="E6" s="19"/>
      <c r="F6" s="20"/>
      <c r="G6" s="19"/>
      <c r="H6" s="19"/>
      <c r="I6" s="608" t="s">
        <v>23</v>
      </c>
      <c r="J6" s="608"/>
      <c r="K6" s="608"/>
      <c r="L6" s="608"/>
      <c r="M6" s="608"/>
      <c r="N6" s="608"/>
      <c r="O6" s="608"/>
      <c r="P6" s="608"/>
      <c r="Q6" s="608"/>
      <c r="R6" s="608"/>
      <c r="S6" s="608"/>
      <c r="T6" s="608"/>
      <c r="U6" s="608"/>
      <c r="V6" s="608"/>
      <c r="W6" s="608"/>
      <c r="X6" s="608"/>
      <c r="Y6" s="608"/>
      <c r="Z6" s="608"/>
      <c r="AA6" s="608"/>
      <c r="AB6" s="608"/>
      <c r="AC6" s="91"/>
    </row>
    <row r="7" spans="1:29" ht="27" customHeight="1" x14ac:dyDescent="0.3">
      <c r="A7" s="18"/>
      <c r="B7" s="19"/>
      <c r="C7" s="19"/>
      <c r="D7" s="19"/>
      <c r="E7" s="19"/>
      <c r="F7" s="20"/>
      <c r="G7" s="19"/>
      <c r="H7" s="19"/>
      <c r="I7" s="608" t="s">
        <v>34</v>
      </c>
      <c r="J7" s="608"/>
      <c r="K7" s="608"/>
      <c r="L7" s="608"/>
      <c r="M7" s="608"/>
      <c r="N7" s="608"/>
      <c r="O7" s="608"/>
      <c r="P7" s="608"/>
      <c r="Q7" s="608"/>
      <c r="R7" s="608"/>
      <c r="S7" s="608"/>
      <c r="T7" s="608"/>
      <c r="U7" s="608"/>
      <c r="V7" s="608"/>
      <c r="W7" s="608"/>
      <c r="X7" s="608"/>
      <c r="Y7" s="608"/>
      <c r="Z7" s="608"/>
      <c r="AA7" s="608"/>
      <c r="AB7" s="608"/>
      <c r="AC7" s="608"/>
    </row>
    <row r="8" spans="1:29" ht="20.25" hidden="1" customHeight="1" x14ac:dyDescent="0.3">
      <c r="A8" s="18"/>
      <c r="B8" s="19"/>
      <c r="C8" s="19"/>
      <c r="D8" s="19"/>
      <c r="E8" s="19"/>
      <c r="F8" s="20"/>
      <c r="G8" s="19"/>
      <c r="H8" s="19"/>
      <c r="I8" s="92" t="s">
        <v>35</v>
      </c>
      <c r="J8" s="92"/>
      <c r="K8" s="92"/>
      <c r="L8" s="92"/>
      <c r="M8" s="92"/>
      <c r="N8" s="92"/>
      <c r="O8" s="92"/>
      <c r="P8" s="92"/>
      <c r="Q8" s="92"/>
      <c r="R8" s="92"/>
      <c r="S8" s="92"/>
      <c r="T8" s="92"/>
      <c r="U8" s="92"/>
      <c r="V8" s="92"/>
      <c r="W8" s="92"/>
      <c r="X8" s="92"/>
      <c r="Y8" s="92"/>
      <c r="Z8" s="92"/>
      <c r="AA8" s="92"/>
      <c r="AB8" s="92"/>
      <c r="AC8" s="92"/>
    </row>
    <row r="9" spans="1:29" ht="20.25" hidden="1" customHeight="1" x14ac:dyDescent="0.3">
      <c r="A9" s="18"/>
      <c r="B9" s="19"/>
      <c r="C9" s="19"/>
      <c r="D9" s="19"/>
      <c r="E9" s="19"/>
      <c r="F9" s="20"/>
      <c r="G9" s="19"/>
      <c r="H9" s="19"/>
      <c r="I9" s="93" t="s">
        <v>3</v>
      </c>
      <c r="J9" s="93"/>
      <c r="K9" s="93"/>
      <c r="L9" s="93"/>
      <c r="M9" s="93"/>
      <c r="N9" s="93"/>
      <c r="O9" s="93"/>
      <c r="P9" s="93"/>
      <c r="Q9" s="93"/>
      <c r="R9" s="94"/>
      <c r="S9" s="93" t="s">
        <v>32</v>
      </c>
      <c r="T9" s="93"/>
      <c r="U9" s="93"/>
      <c r="V9" s="93"/>
      <c r="W9" s="93"/>
      <c r="X9" s="95" t="s">
        <v>4</v>
      </c>
      <c r="Y9" s="95"/>
      <c r="Z9" s="95"/>
      <c r="AA9" s="95"/>
      <c r="AB9" s="95"/>
      <c r="AC9" s="96" t="s">
        <v>40</v>
      </c>
    </row>
    <row r="10" spans="1:29" s="12" customFormat="1" ht="49.5" hidden="1" customHeight="1" x14ac:dyDescent="0.25">
      <c r="A10" s="22" t="s">
        <v>5</v>
      </c>
      <c r="B10" s="22" t="s">
        <v>6</v>
      </c>
      <c r="C10" s="22" t="s">
        <v>7</v>
      </c>
      <c r="D10" s="22" t="s">
        <v>8</v>
      </c>
      <c r="E10" s="22" t="s">
        <v>9</v>
      </c>
      <c r="F10" s="23" t="s">
        <v>5</v>
      </c>
      <c r="G10" s="24" t="s">
        <v>10</v>
      </c>
      <c r="H10" s="25"/>
      <c r="I10" s="97" t="s">
        <v>11</v>
      </c>
      <c r="J10" s="97" t="s">
        <v>12</v>
      </c>
      <c r="K10" s="97" t="s">
        <v>13</v>
      </c>
      <c r="L10" s="97" t="s">
        <v>24</v>
      </c>
      <c r="M10" s="97" t="s">
        <v>25</v>
      </c>
      <c r="N10" s="97" t="s">
        <v>26</v>
      </c>
      <c r="O10" s="97" t="s">
        <v>27</v>
      </c>
      <c r="P10" s="97" t="s">
        <v>28</v>
      </c>
      <c r="Q10" s="97" t="s">
        <v>29</v>
      </c>
      <c r="R10" s="98" t="s">
        <v>47</v>
      </c>
      <c r="S10" s="99" t="s">
        <v>14</v>
      </c>
      <c r="T10" s="99" t="s">
        <v>31</v>
      </c>
      <c r="U10" s="99" t="s">
        <v>15</v>
      </c>
      <c r="V10" s="99" t="s">
        <v>16</v>
      </c>
      <c r="W10" s="99"/>
      <c r="X10" s="99" t="s">
        <v>17</v>
      </c>
      <c r="Y10" s="99" t="s">
        <v>18</v>
      </c>
      <c r="Z10" s="99" t="s">
        <v>19</v>
      </c>
      <c r="AA10" s="99" t="s">
        <v>20</v>
      </c>
      <c r="AB10" s="99" t="s">
        <v>21</v>
      </c>
      <c r="AC10" s="96"/>
    </row>
    <row r="11" spans="1:29" s="16" customFormat="1" ht="77.25" hidden="1" customHeight="1" x14ac:dyDescent="0.2">
      <c r="A11" s="29"/>
      <c r="B11" s="30"/>
      <c r="C11" s="30"/>
      <c r="D11" s="30"/>
      <c r="E11" s="27"/>
      <c r="F11" s="29"/>
      <c r="G11" s="27"/>
      <c r="H11" s="27"/>
      <c r="I11" s="100">
        <v>7</v>
      </c>
      <c r="J11" s="101" t="s">
        <v>41</v>
      </c>
      <c r="K11" s="101" t="s">
        <v>42</v>
      </c>
      <c r="L11" s="100">
        <v>1</v>
      </c>
      <c r="M11" s="100">
        <v>0</v>
      </c>
      <c r="N11" s="100">
        <v>1</v>
      </c>
      <c r="O11" s="100">
        <v>0</v>
      </c>
      <c r="P11" s="102">
        <f>SUM(L11:O11)</f>
        <v>2</v>
      </c>
      <c r="Q11" s="103" t="s">
        <v>22</v>
      </c>
      <c r="R11" s="103" t="s">
        <v>30</v>
      </c>
      <c r="S11" s="102">
        <v>1</v>
      </c>
      <c r="T11" s="103" t="s">
        <v>41</v>
      </c>
      <c r="U11" s="103" t="s">
        <v>44</v>
      </c>
      <c r="V11" s="104">
        <v>1</v>
      </c>
      <c r="W11" s="104"/>
      <c r="X11" s="105">
        <f>SUM(Y11:AB11)</f>
        <v>0</v>
      </c>
      <c r="Y11" s="106">
        <v>0</v>
      </c>
      <c r="Z11" s="106"/>
      <c r="AA11" s="107"/>
      <c r="AB11" s="107"/>
      <c r="AC11" s="106">
        <v>0</v>
      </c>
    </row>
    <row r="12" spans="1:29" ht="27" customHeight="1" x14ac:dyDescent="0.3">
      <c r="A12" s="18"/>
      <c r="B12" s="19"/>
      <c r="C12" s="19"/>
      <c r="D12" s="19"/>
      <c r="E12" s="19"/>
      <c r="F12" s="20"/>
      <c r="G12" s="19"/>
      <c r="H12" s="19"/>
      <c r="I12" s="608" t="s">
        <v>36</v>
      </c>
      <c r="J12" s="608"/>
      <c r="K12" s="608"/>
      <c r="L12" s="608"/>
      <c r="M12" s="608"/>
      <c r="N12" s="608"/>
      <c r="O12" s="608"/>
      <c r="P12" s="608"/>
      <c r="Q12" s="608"/>
      <c r="R12" s="608"/>
      <c r="S12" s="608"/>
      <c r="T12" s="608"/>
      <c r="U12" s="608"/>
      <c r="V12" s="608"/>
      <c r="W12" s="608"/>
      <c r="X12" s="608"/>
      <c r="Y12" s="608"/>
      <c r="Z12" s="608"/>
      <c r="AA12" s="608"/>
      <c r="AB12" s="608"/>
      <c r="AC12" s="608"/>
    </row>
    <row r="13" spans="1:29" ht="35.25" customHeight="1" x14ac:dyDescent="0.3">
      <c r="A13" s="18"/>
      <c r="B13" s="19"/>
      <c r="C13" s="19"/>
      <c r="D13" s="19"/>
      <c r="E13" s="19"/>
      <c r="F13" s="20"/>
      <c r="G13" s="19"/>
      <c r="H13" s="19"/>
      <c r="I13" s="602" t="s">
        <v>3</v>
      </c>
      <c r="J13" s="602"/>
      <c r="K13" s="602"/>
      <c r="L13" s="602"/>
      <c r="M13" s="602"/>
      <c r="N13" s="602"/>
      <c r="O13" s="602"/>
      <c r="P13" s="602"/>
      <c r="Q13" s="602"/>
      <c r="R13" s="602" t="s">
        <v>72</v>
      </c>
      <c r="S13" s="602"/>
      <c r="T13" s="602"/>
      <c r="U13" s="602"/>
      <c r="V13" s="602"/>
      <c r="W13" s="602"/>
      <c r="X13" s="609" t="s">
        <v>4</v>
      </c>
      <c r="Y13" s="609"/>
      <c r="Z13" s="609"/>
      <c r="AA13" s="609"/>
      <c r="AB13" s="609"/>
      <c r="AC13" s="610" t="s">
        <v>40</v>
      </c>
    </row>
    <row r="14" spans="1:29" s="12" customFormat="1" ht="64.5" customHeight="1" x14ac:dyDescent="0.25">
      <c r="A14" s="22" t="s">
        <v>5</v>
      </c>
      <c r="B14" s="22" t="s">
        <v>6</v>
      </c>
      <c r="C14" s="22" t="s">
        <v>7</v>
      </c>
      <c r="D14" s="22" t="s">
        <v>8</v>
      </c>
      <c r="E14" s="22" t="s">
        <v>9</v>
      </c>
      <c r="F14" s="23" t="s">
        <v>5</v>
      </c>
      <c r="G14" s="24" t="s">
        <v>10</v>
      </c>
      <c r="H14" s="48"/>
      <c r="I14" s="108" t="s">
        <v>51</v>
      </c>
      <c r="J14" s="108" t="s">
        <v>12</v>
      </c>
      <c r="K14" s="108" t="s">
        <v>52</v>
      </c>
      <c r="L14" s="108" t="s">
        <v>24</v>
      </c>
      <c r="M14" s="108" t="s">
        <v>25</v>
      </c>
      <c r="N14" s="108" t="s">
        <v>26</v>
      </c>
      <c r="O14" s="108" t="s">
        <v>27</v>
      </c>
      <c r="P14" s="108" t="s">
        <v>28</v>
      </c>
      <c r="Q14" s="108" t="s">
        <v>29</v>
      </c>
      <c r="R14" s="108" t="s">
        <v>47</v>
      </c>
      <c r="S14" s="109" t="s">
        <v>14</v>
      </c>
      <c r="T14" s="109" t="s">
        <v>79</v>
      </c>
      <c r="U14" s="109" t="s">
        <v>15</v>
      </c>
      <c r="V14" s="109" t="s">
        <v>16</v>
      </c>
      <c r="W14" s="108" t="s">
        <v>48</v>
      </c>
      <c r="X14" s="109" t="s">
        <v>17</v>
      </c>
      <c r="Y14" s="109" t="s">
        <v>18</v>
      </c>
      <c r="Z14" s="109" t="s">
        <v>19</v>
      </c>
      <c r="AA14" s="197" t="s">
        <v>361</v>
      </c>
      <c r="AB14" s="109" t="s">
        <v>21</v>
      </c>
      <c r="AC14" s="610"/>
    </row>
    <row r="15" spans="1:29" s="16" customFormat="1" ht="79.5" customHeight="1" x14ac:dyDescent="0.2">
      <c r="A15" s="29"/>
      <c r="B15" s="30"/>
      <c r="C15" s="30"/>
      <c r="D15" s="30"/>
      <c r="E15" s="27"/>
      <c r="F15" s="29"/>
      <c r="G15" s="27"/>
      <c r="H15" s="32"/>
      <c r="I15" s="603" t="s">
        <v>43</v>
      </c>
      <c r="J15" s="623" t="s">
        <v>50</v>
      </c>
      <c r="K15" s="623" t="s">
        <v>71</v>
      </c>
      <c r="L15" s="626">
        <v>3</v>
      </c>
      <c r="M15" s="624">
        <v>3</v>
      </c>
      <c r="N15" s="624">
        <v>3</v>
      </c>
      <c r="O15" s="624">
        <v>3</v>
      </c>
      <c r="P15" s="613">
        <f>SUM(L15:O15)</f>
        <v>12</v>
      </c>
      <c r="Q15" s="607" t="s">
        <v>22</v>
      </c>
      <c r="R15" s="604" t="s">
        <v>30</v>
      </c>
      <c r="S15" s="309">
        <v>1</v>
      </c>
      <c r="T15" s="103" t="s">
        <v>92</v>
      </c>
      <c r="U15" s="111" t="s">
        <v>93</v>
      </c>
      <c r="V15" s="113">
        <v>1</v>
      </c>
      <c r="W15" s="114" t="s">
        <v>74</v>
      </c>
      <c r="X15" s="115">
        <f>+Y15+Z15+AA15</f>
        <v>57001591</v>
      </c>
      <c r="Y15" s="106">
        <f>75000000-17998409</f>
        <v>57001591</v>
      </c>
      <c r="Z15" s="106">
        <v>0</v>
      </c>
      <c r="AA15" s="106">
        <v>0</v>
      </c>
      <c r="AB15" s="107"/>
      <c r="AC15" s="106">
        <v>0</v>
      </c>
    </row>
    <row r="16" spans="1:29" s="16" customFormat="1" ht="163.5" customHeight="1" x14ac:dyDescent="0.2">
      <c r="A16" s="29"/>
      <c r="B16" s="30"/>
      <c r="C16" s="30"/>
      <c r="D16" s="30"/>
      <c r="E16" s="27"/>
      <c r="F16" s="29"/>
      <c r="G16" s="27"/>
      <c r="H16" s="32"/>
      <c r="I16" s="603"/>
      <c r="J16" s="623"/>
      <c r="K16" s="623"/>
      <c r="L16" s="626"/>
      <c r="M16" s="624"/>
      <c r="N16" s="624"/>
      <c r="O16" s="624"/>
      <c r="P16" s="613"/>
      <c r="Q16" s="607"/>
      <c r="R16" s="604"/>
      <c r="S16" s="309">
        <v>2</v>
      </c>
      <c r="T16" s="103" t="s">
        <v>100</v>
      </c>
      <c r="U16" s="111" t="s">
        <v>94</v>
      </c>
      <c r="V16" s="113">
        <v>12</v>
      </c>
      <c r="W16" s="114" t="s">
        <v>80</v>
      </c>
      <c r="X16" s="115">
        <f>+Y16+Z16+AA16</f>
        <v>48000000</v>
      </c>
      <c r="Y16" s="106">
        <v>48000000</v>
      </c>
      <c r="Z16" s="106">
        <v>0</v>
      </c>
      <c r="AA16" s="106">
        <v>0</v>
      </c>
      <c r="AB16" s="107"/>
      <c r="AC16" s="106">
        <v>0</v>
      </c>
    </row>
    <row r="17" spans="1:29" s="16" customFormat="1" ht="122.25" customHeight="1" x14ac:dyDescent="0.2">
      <c r="A17" s="29"/>
      <c r="B17" s="30"/>
      <c r="C17" s="30"/>
      <c r="D17" s="30"/>
      <c r="E17" s="27"/>
      <c r="F17" s="29"/>
      <c r="G17" s="27"/>
      <c r="H17" s="32"/>
      <c r="I17" s="603"/>
      <c r="J17" s="623"/>
      <c r="K17" s="623"/>
      <c r="L17" s="626"/>
      <c r="M17" s="624"/>
      <c r="N17" s="624"/>
      <c r="O17" s="624"/>
      <c r="P17" s="613"/>
      <c r="Q17" s="607"/>
      <c r="R17" s="604"/>
      <c r="S17" s="309">
        <v>3</v>
      </c>
      <c r="T17" s="103" t="s">
        <v>95</v>
      </c>
      <c r="U17" s="103" t="s">
        <v>101</v>
      </c>
      <c r="V17" s="113">
        <v>1</v>
      </c>
      <c r="W17" s="114" t="s">
        <v>74</v>
      </c>
      <c r="X17" s="115">
        <f>Y17+Z17+AA17</f>
        <v>30000000</v>
      </c>
      <c r="Y17" s="106">
        <v>30000000</v>
      </c>
      <c r="Z17" s="106">
        <v>0</v>
      </c>
      <c r="AA17" s="106">
        <v>0</v>
      </c>
      <c r="AB17" s="107"/>
      <c r="AC17" s="106">
        <v>0</v>
      </c>
    </row>
    <row r="18" spans="1:29" s="16" customFormat="1" ht="91.5" customHeight="1" x14ac:dyDescent="0.2">
      <c r="A18" s="29"/>
      <c r="B18" s="30"/>
      <c r="C18" s="30"/>
      <c r="D18" s="30"/>
      <c r="E18" s="27"/>
      <c r="F18" s="29"/>
      <c r="G18" s="27"/>
      <c r="H18" s="32"/>
      <c r="I18" s="603"/>
      <c r="J18" s="623"/>
      <c r="K18" s="623"/>
      <c r="L18" s="626"/>
      <c r="M18" s="624"/>
      <c r="N18" s="624"/>
      <c r="O18" s="624"/>
      <c r="P18" s="613"/>
      <c r="Q18" s="607"/>
      <c r="R18" s="604"/>
      <c r="S18" s="309">
        <v>4</v>
      </c>
      <c r="T18" s="103" t="s">
        <v>97</v>
      </c>
      <c r="U18" s="103" t="s">
        <v>101</v>
      </c>
      <c r="V18" s="113">
        <v>1</v>
      </c>
      <c r="W18" s="114" t="s">
        <v>80</v>
      </c>
      <c r="X18" s="115">
        <f>Y18+Z18+AA18</f>
        <v>72700000</v>
      </c>
      <c r="Y18" s="106">
        <f>80500000-17800000+10000000</f>
        <v>72700000</v>
      </c>
      <c r="Z18" s="106">
        <v>0</v>
      </c>
      <c r="AA18" s="106">
        <v>0</v>
      </c>
      <c r="AB18" s="107"/>
      <c r="AC18" s="106">
        <v>0</v>
      </c>
    </row>
    <row r="19" spans="1:29" s="16" customFormat="1" ht="105.75" customHeight="1" x14ac:dyDescent="0.2">
      <c r="A19" s="29"/>
      <c r="B19" s="30"/>
      <c r="C19" s="30"/>
      <c r="D19" s="30"/>
      <c r="E19" s="27"/>
      <c r="F19" s="29"/>
      <c r="G19" s="27"/>
      <c r="H19" s="32"/>
      <c r="I19" s="603"/>
      <c r="J19" s="623"/>
      <c r="K19" s="623"/>
      <c r="L19" s="626"/>
      <c r="M19" s="624"/>
      <c r="N19" s="624"/>
      <c r="O19" s="624"/>
      <c r="P19" s="613"/>
      <c r="Q19" s="607"/>
      <c r="R19" s="604"/>
      <c r="S19" s="309">
        <v>5</v>
      </c>
      <c r="T19" s="103" t="s">
        <v>96</v>
      </c>
      <c r="U19" s="103" t="s">
        <v>101</v>
      </c>
      <c r="V19" s="113">
        <v>1</v>
      </c>
      <c r="W19" s="114" t="s">
        <v>80</v>
      </c>
      <c r="X19" s="115">
        <f>Y19+Z19+AA19</f>
        <v>30000000</v>
      </c>
      <c r="Y19" s="106">
        <v>30000000</v>
      </c>
      <c r="Z19" s="106">
        <v>0</v>
      </c>
      <c r="AA19" s="106">
        <v>0</v>
      </c>
      <c r="AB19" s="107"/>
      <c r="AC19" s="106">
        <v>0</v>
      </c>
    </row>
    <row r="20" spans="1:29" s="16" customFormat="1" ht="37.5" customHeight="1" x14ac:dyDescent="0.2">
      <c r="A20" s="29"/>
      <c r="B20" s="30"/>
      <c r="C20" s="30"/>
      <c r="D20" s="30"/>
      <c r="E20" s="27"/>
      <c r="F20" s="29"/>
      <c r="G20" s="27"/>
      <c r="H20" s="49"/>
      <c r="I20" s="625" t="s">
        <v>64</v>
      </c>
      <c r="J20" s="625"/>
      <c r="K20" s="625"/>
      <c r="L20" s="625"/>
      <c r="M20" s="625"/>
      <c r="N20" s="625"/>
      <c r="O20" s="625"/>
      <c r="P20" s="625"/>
      <c r="Q20" s="625"/>
      <c r="R20" s="625"/>
      <c r="S20" s="625"/>
      <c r="T20" s="625"/>
      <c r="U20" s="625"/>
      <c r="V20" s="625"/>
      <c r="W20" s="625"/>
      <c r="X20" s="625"/>
      <c r="Y20" s="625"/>
      <c r="Z20" s="625"/>
      <c r="AA20" s="625"/>
      <c r="AB20" s="625"/>
      <c r="AC20" s="91"/>
    </row>
    <row r="21" spans="1:29" ht="20.25" customHeight="1" x14ac:dyDescent="0.3">
      <c r="A21" s="18"/>
      <c r="B21" s="19"/>
      <c r="C21" s="19"/>
      <c r="D21" s="19"/>
      <c r="E21" s="19"/>
      <c r="F21" s="20"/>
      <c r="G21" s="19"/>
      <c r="H21" s="50"/>
      <c r="I21" s="625" t="s">
        <v>60</v>
      </c>
      <c r="J21" s="625"/>
      <c r="K21" s="625"/>
      <c r="L21" s="625"/>
      <c r="M21" s="625"/>
      <c r="N21" s="625"/>
      <c r="O21" s="625"/>
      <c r="P21" s="625"/>
      <c r="Q21" s="625"/>
      <c r="R21" s="625"/>
      <c r="S21" s="625"/>
      <c r="T21" s="625"/>
      <c r="U21" s="625"/>
      <c r="V21" s="625"/>
      <c r="W21" s="625"/>
      <c r="X21" s="625"/>
      <c r="Y21" s="625"/>
      <c r="Z21" s="625"/>
      <c r="AA21" s="625"/>
      <c r="AB21" s="625"/>
      <c r="AC21" s="625"/>
    </row>
    <row r="22" spans="1:29" ht="20.25" customHeight="1" x14ac:dyDescent="0.3">
      <c r="A22" s="18"/>
      <c r="B22" s="19"/>
      <c r="C22" s="19"/>
      <c r="D22" s="19"/>
      <c r="E22" s="19"/>
      <c r="F22" s="20"/>
      <c r="G22" s="19"/>
      <c r="H22" s="50"/>
      <c r="I22" s="625" t="s">
        <v>37</v>
      </c>
      <c r="J22" s="625"/>
      <c r="K22" s="625"/>
      <c r="L22" s="625"/>
      <c r="M22" s="625"/>
      <c r="N22" s="625"/>
      <c r="O22" s="625"/>
      <c r="P22" s="625"/>
      <c r="Q22" s="625"/>
      <c r="R22" s="625"/>
      <c r="S22" s="625"/>
      <c r="T22" s="625"/>
      <c r="U22" s="625"/>
      <c r="V22" s="625"/>
      <c r="W22" s="625"/>
      <c r="X22" s="625"/>
      <c r="Y22" s="625"/>
      <c r="Z22" s="625"/>
      <c r="AA22" s="625"/>
      <c r="AB22" s="625"/>
      <c r="AC22" s="625"/>
    </row>
    <row r="23" spans="1:29" ht="20.25" customHeight="1" x14ac:dyDescent="0.3">
      <c r="A23" s="18"/>
      <c r="B23" s="19"/>
      <c r="C23" s="19"/>
      <c r="D23" s="19"/>
      <c r="E23" s="19"/>
      <c r="F23" s="20"/>
      <c r="G23" s="19"/>
      <c r="H23" s="50"/>
      <c r="I23" s="602" t="s">
        <v>3</v>
      </c>
      <c r="J23" s="602"/>
      <c r="K23" s="602"/>
      <c r="L23" s="602"/>
      <c r="M23" s="602"/>
      <c r="N23" s="602"/>
      <c r="O23" s="602"/>
      <c r="P23" s="602"/>
      <c r="Q23" s="602"/>
      <c r="R23" s="602" t="s">
        <v>72</v>
      </c>
      <c r="S23" s="602"/>
      <c r="T23" s="602"/>
      <c r="U23" s="602"/>
      <c r="V23" s="602"/>
      <c r="W23" s="602"/>
      <c r="X23" s="609" t="s">
        <v>4</v>
      </c>
      <c r="Y23" s="609"/>
      <c r="Z23" s="609"/>
      <c r="AA23" s="609"/>
      <c r="AB23" s="609"/>
      <c r="AC23" s="610" t="s">
        <v>40</v>
      </c>
    </row>
    <row r="24" spans="1:29" ht="78.75" customHeight="1" x14ac:dyDescent="0.3">
      <c r="A24" s="18"/>
      <c r="B24" s="19"/>
      <c r="C24" s="19"/>
      <c r="D24" s="19"/>
      <c r="E24" s="19"/>
      <c r="F24" s="20"/>
      <c r="G24" s="19"/>
      <c r="H24" s="51"/>
      <c r="I24" s="108" t="s">
        <v>61</v>
      </c>
      <c r="J24" s="108" t="s">
        <v>12</v>
      </c>
      <c r="K24" s="108" t="s">
        <v>62</v>
      </c>
      <c r="L24" s="108" t="s">
        <v>24</v>
      </c>
      <c r="M24" s="108" t="s">
        <v>25</v>
      </c>
      <c r="N24" s="108" t="s">
        <v>26</v>
      </c>
      <c r="O24" s="108" t="s">
        <v>27</v>
      </c>
      <c r="P24" s="108" t="s">
        <v>28</v>
      </c>
      <c r="Q24" s="108" t="s">
        <v>63</v>
      </c>
      <c r="R24" s="108" t="s">
        <v>47</v>
      </c>
      <c r="S24" s="109" t="s">
        <v>14</v>
      </c>
      <c r="T24" s="109" t="s">
        <v>79</v>
      </c>
      <c r="U24" s="109" t="s">
        <v>15</v>
      </c>
      <c r="V24" s="109" t="s">
        <v>16</v>
      </c>
      <c r="W24" s="108" t="s">
        <v>48</v>
      </c>
      <c r="X24" s="109" t="s">
        <v>17</v>
      </c>
      <c r="Y24" s="109" t="s">
        <v>18</v>
      </c>
      <c r="Z24" s="109" t="s">
        <v>19</v>
      </c>
      <c r="AA24" s="109" t="s">
        <v>20</v>
      </c>
      <c r="AB24" s="116"/>
      <c r="AC24" s="610"/>
    </row>
    <row r="25" spans="1:29" ht="173.25" customHeight="1" x14ac:dyDescent="0.3">
      <c r="A25" s="18"/>
      <c r="B25" s="19"/>
      <c r="C25" s="19"/>
      <c r="D25" s="19"/>
      <c r="E25" s="19"/>
      <c r="F25" s="20"/>
      <c r="G25" s="19"/>
      <c r="H25" s="28"/>
      <c r="I25" s="110" t="s">
        <v>81</v>
      </c>
      <c r="J25" s="101" t="s">
        <v>82</v>
      </c>
      <c r="K25" s="101" t="s">
        <v>82</v>
      </c>
      <c r="L25" s="117">
        <v>0</v>
      </c>
      <c r="M25" s="117">
        <v>1</v>
      </c>
      <c r="N25" s="117">
        <v>2</v>
      </c>
      <c r="O25" s="117">
        <v>3</v>
      </c>
      <c r="P25" s="102">
        <v>6</v>
      </c>
      <c r="Q25" s="111" t="s">
        <v>22</v>
      </c>
      <c r="R25" s="112" t="s">
        <v>30</v>
      </c>
      <c r="S25" s="118">
        <v>6</v>
      </c>
      <c r="T25" s="212" t="s">
        <v>380</v>
      </c>
      <c r="U25" s="103" t="s">
        <v>102</v>
      </c>
      <c r="V25" s="113">
        <v>1</v>
      </c>
      <c r="W25" s="114" t="s">
        <v>73</v>
      </c>
      <c r="X25" s="105">
        <f>Y25+Z25+AA25</f>
        <v>210000000</v>
      </c>
      <c r="Y25" s="106">
        <v>210000000</v>
      </c>
      <c r="Z25" s="106">
        <v>0</v>
      </c>
      <c r="AA25" s="106">
        <v>0</v>
      </c>
      <c r="AB25" s="107"/>
      <c r="AC25" s="106">
        <v>0</v>
      </c>
    </row>
    <row r="26" spans="1:29" ht="35.25" customHeight="1" x14ac:dyDescent="0.3">
      <c r="A26" s="18"/>
      <c r="B26" s="19"/>
      <c r="C26" s="19"/>
      <c r="D26" s="19"/>
      <c r="E26" s="19"/>
      <c r="F26" s="20"/>
      <c r="G26" s="19"/>
      <c r="H26" s="28"/>
      <c r="I26" s="608" t="s">
        <v>64</v>
      </c>
      <c r="J26" s="608"/>
      <c r="K26" s="608"/>
      <c r="L26" s="608"/>
      <c r="M26" s="608"/>
      <c r="N26" s="608"/>
      <c r="O26" s="608"/>
      <c r="P26" s="608"/>
      <c r="Q26" s="608"/>
      <c r="R26" s="608"/>
      <c r="S26" s="608"/>
      <c r="T26" s="608"/>
      <c r="U26" s="608"/>
      <c r="V26" s="608"/>
      <c r="W26" s="608"/>
      <c r="X26" s="608"/>
      <c r="Y26" s="608"/>
      <c r="Z26" s="608"/>
      <c r="AA26" s="608"/>
      <c r="AB26" s="608"/>
      <c r="AC26" s="608"/>
    </row>
    <row r="27" spans="1:29" ht="29.25" customHeight="1" x14ac:dyDescent="0.3">
      <c r="A27" s="18"/>
      <c r="B27" s="19"/>
      <c r="C27" s="19"/>
      <c r="D27" s="19"/>
      <c r="E27" s="19"/>
      <c r="F27" s="20"/>
      <c r="G27" s="19"/>
      <c r="H27" s="28"/>
      <c r="I27" s="608" t="s">
        <v>65</v>
      </c>
      <c r="J27" s="608"/>
      <c r="K27" s="608"/>
      <c r="L27" s="608"/>
      <c r="M27" s="608"/>
      <c r="N27" s="608"/>
      <c r="O27" s="608"/>
      <c r="P27" s="608"/>
      <c r="Q27" s="608"/>
      <c r="R27" s="608"/>
      <c r="S27" s="608"/>
      <c r="T27" s="608"/>
      <c r="U27" s="608"/>
      <c r="V27" s="608"/>
      <c r="W27" s="608"/>
      <c r="X27" s="608"/>
      <c r="Y27" s="608"/>
      <c r="Z27" s="608"/>
      <c r="AA27" s="608"/>
      <c r="AB27" s="608"/>
      <c r="AC27" s="608"/>
    </row>
    <row r="28" spans="1:29" ht="20.25" customHeight="1" x14ac:dyDescent="0.3">
      <c r="A28" s="18"/>
      <c r="B28" s="19"/>
      <c r="C28" s="19"/>
      <c r="D28" s="19"/>
      <c r="E28" s="19"/>
      <c r="F28" s="20"/>
      <c r="G28" s="19"/>
      <c r="H28" s="28"/>
      <c r="I28" s="608" t="s">
        <v>66</v>
      </c>
      <c r="J28" s="608"/>
      <c r="K28" s="608"/>
      <c r="L28" s="608"/>
      <c r="M28" s="608"/>
      <c r="N28" s="608"/>
      <c r="O28" s="608"/>
      <c r="P28" s="608"/>
      <c r="Q28" s="608"/>
      <c r="R28" s="608"/>
      <c r="S28" s="608"/>
      <c r="T28" s="608"/>
      <c r="U28" s="608"/>
      <c r="V28" s="608"/>
      <c r="W28" s="608"/>
      <c r="X28" s="608"/>
      <c r="Y28" s="608"/>
      <c r="Z28" s="608"/>
      <c r="AA28" s="608"/>
      <c r="AB28" s="608"/>
      <c r="AC28" s="608"/>
    </row>
    <row r="29" spans="1:29" ht="20.25" customHeight="1" x14ac:dyDescent="0.3">
      <c r="A29" s="18"/>
      <c r="B29" s="19"/>
      <c r="C29" s="19"/>
      <c r="D29" s="19"/>
      <c r="E29" s="19"/>
      <c r="F29" s="20"/>
      <c r="G29" s="19"/>
      <c r="H29" s="28"/>
      <c r="I29" s="602" t="s">
        <v>3</v>
      </c>
      <c r="J29" s="602"/>
      <c r="K29" s="602"/>
      <c r="L29" s="602"/>
      <c r="M29" s="602"/>
      <c r="N29" s="602"/>
      <c r="O29" s="602"/>
      <c r="P29" s="602"/>
      <c r="Q29" s="602"/>
      <c r="R29" s="119"/>
      <c r="S29" s="602" t="s">
        <v>72</v>
      </c>
      <c r="T29" s="602"/>
      <c r="U29" s="602"/>
      <c r="V29" s="602"/>
      <c r="W29" s="602"/>
      <c r="X29" s="609" t="s">
        <v>4</v>
      </c>
      <c r="Y29" s="609"/>
      <c r="Z29" s="609"/>
      <c r="AA29" s="609"/>
      <c r="AB29" s="609"/>
      <c r="AC29" s="610" t="s">
        <v>40</v>
      </c>
    </row>
    <row r="30" spans="1:29" s="12" customFormat="1" ht="56.25" customHeight="1" x14ac:dyDescent="0.25">
      <c r="A30" s="22" t="s">
        <v>5</v>
      </c>
      <c r="B30" s="22" t="s">
        <v>6</v>
      </c>
      <c r="C30" s="22" t="s">
        <v>7</v>
      </c>
      <c r="D30" s="22" t="s">
        <v>8</v>
      </c>
      <c r="E30" s="22" t="s">
        <v>9</v>
      </c>
      <c r="F30" s="23" t="s">
        <v>5</v>
      </c>
      <c r="G30" s="24" t="s">
        <v>10</v>
      </c>
      <c r="H30" s="25"/>
      <c r="I30" s="108" t="s">
        <v>51</v>
      </c>
      <c r="J30" s="108" t="s">
        <v>12</v>
      </c>
      <c r="K30" s="108" t="s">
        <v>52</v>
      </c>
      <c r="L30" s="108" t="s">
        <v>24</v>
      </c>
      <c r="M30" s="108" t="s">
        <v>25</v>
      </c>
      <c r="N30" s="108" t="s">
        <v>26</v>
      </c>
      <c r="O30" s="108" t="s">
        <v>27</v>
      </c>
      <c r="P30" s="108" t="s">
        <v>28</v>
      </c>
      <c r="Q30" s="108" t="s">
        <v>29</v>
      </c>
      <c r="R30" s="108" t="s">
        <v>47</v>
      </c>
      <c r="S30" s="109" t="s">
        <v>14</v>
      </c>
      <c r="T30" s="109" t="s">
        <v>79</v>
      </c>
      <c r="U30" s="109" t="s">
        <v>15</v>
      </c>
      <c r="V30" s="109" t="s">
        <v>16</v>
      </c>
      <c r="W30" s="108" t="s">
        <v>48</v>
      </c>
      <c r="X30" s="109" t="s">
        <v>17</v>
      </c>
      <c r="Y30" s="109" t="s">
        <v>18</v>
      </c>
      <c r="Z30" s="109" t="s">
        <v>19</v>
      </c>
      <c r="AA30" s="109" t="s">
        <v>20</v>
      </c>
      <c r="AB30" s="109" t="s">
        <v>21</v>
      </c>
      <c r="AC30" s="610"/>
    </row>
    <row r="31" spans="1:29" s="15" customFormat="1" ht="144.75" customHeight="1" x14ac:dyDescent="0.25">
      <c r="A31" s="33">
        <v>28</v>
      </c>
      <c r="B31" s="34" t="s">
        <v>83</v>
      </c>
      <c r="C31" s="34" t="s">
        <v>84</v>
      </c>
      <c r="D31" s="35" t="s">
        <v>85</v>
      </c>
      <c r="E31" s="36" t="s">
        <v>86</v>
      </c>
      <c r="F31" s="33">
        <v>11</v>
      </c>
      <c r="G31" s="37" t="s">
        <v>87</v>
      </c>
      <c r="H31" s="27"/>
      <c r="I31" s="120" t="s">
        <v>88</v>
      </c>
      <c r="J31" s="101" t="s">
        <v>89</v>
      </c>
      <c r="K31" s="121" t="s">
        <v>90</v>
      </c>
      <c r="L31" s="294">
        <v>12000</v>
      </c>
      <c r="M31" s="117">
        <v>12000</v>
      </c>
      <c r="N31" s="117">
        <v>12000</v>
      </c>
      <c r="O31" s="117">
        <v>12000</v>
      </c>
      <c r="P31" s="102">
        <v>12000</v>
      </c>
      <c r="Q31" s="103" t="s">
        <v>22</v>
      </c>
      <c r="R31" s="103" t="s">
        <v>30</v>
      </c>
      <c r="S31" s="309">
        <v>7</v>
      </c>
      <c r="T31" s="121" t="s">
        <v>98</v>
      </c>
      <c r="U31" s="121" t="s">
        <v>103</v>
      </c>
      <c r="V31" s="113">
        <v>12000</v>
      </c>
      <c r="W31" s="121" t="s">
        <v>91</v>
      </c>
      <c r="X31" s="122">
        <f>Y31+Z31+AA31</f>
        <v>164500000</v>
      </c>
      <c r="Y31" s="123">
        <f>74500000+90000000</f>
        <v>164500000</v>
      </c>
      <c r="Z31" s="124">
        <v>0</v>
      </c>
      <c r="AA31" s="124">
        <v>0</v>
      </c>
      <c r="AB31" s="123"/>
      <c r="AC31" s="123">
        <v>47383335</v>
      </c>
    </row>
    <row r="32" spans="1:29" s="15" customFormat="1" ht="144" x14ac:dyDescent="0.25">
      <c r="A32" s="29"/>
      <c r="B32" s="30"/>
      <c r="C32" s="30"/>
      <c r="D32" s="27"/>
      <c r="E32" s="27"/>
      <c r="F32" s="29"/>
      <c r="G32" s="27"/>
      <c r="H32" s="27"/>
      <c r="I32" s="120" t="s">
        <v>58</v>
      </c>
      <c r="J32" s="101" t="s">
        <v>59</v>
      </c>
      <c r="K32" s="121" t="s">
        <v>68</v>
      </c>
      <c r="L32" s="117">
        <v>0</v>
      </c>
      <c r="M32" s="117">
        <v>2</v>
      </c>
      <c r="N32" s="117">
        <v>6</v>
      </c>
      <c r="O32" s="117">
        <v>12</v>
      </c>
      <c r="P32" s="102">
        <f>SUM(L32:O32)</f>
        <v>20</v>
      </c>
      <c r="Q32" s="103" t="s">
        <v>22</v>
      </c>
      <c r="R32" s="103" t="s">
        <v>30</v>
      </c>
      <c r="S32" s="102">
        <v>8</v>
      </c>
      <c r="T32" s="121" t="s">
        <v>77</v>
      </c>
      <c r="U32" s="121" t="s">
        <v>68</v>
      </c>
      <c r="V32" s="113">
        <v>2</v>
      </c>
      <c r="W32" s="121" t="s">
        <v>78</v>
      </c>
      <c r="X32" s="125">
        <f>Y32+Z32+AA32</f>
        <v>0</v>
      </c>
      <c r="Y32" s="124">
        <v>0</v>
      </c>
      <c r="Z32" s="124">
        <v>0</v>
      </c>
      <c r="AA32" s="124">
        <v>0</v>
      </c>
      <c r="AB32" s="123"/>
      <c r="AC32" s="124">
        <v>0</v>
      </c>
    </row>
    <row r="33" spans="1:34" ht="32.25" customHeight="1" x14ac:dyDescent="0.3">
      <c r="A33" s="18"/>
      <c r="B33" s="19"/>
      <c r="C33" s="19"/>
      <c r="D33" s="19"/>
      <c r="E33" s="19"/>
      <c r="F33" s="20"/>
      <c r="G33" s="19"/>
      <c r="H33" s="19"/>
      <c r="I33" s="608" t="s">
        <v>38</v>
      </c>
      <c r="J33" s="608"/>
      <c r="K33" s="608"/>
      <c r="L33" s="608"/>
      <c r="M33" s="608"/>
      <c r="N33" s="608"/>
      <c r="O33" s="608"/>
      <c r="P33" s="608"/>
      <c r="Q33" s="608"/>
      <c r="R33" s="608"/>
      <c r="S33" s="608"/>
      <c r="T33" s="608"/>
      <c r="U33" s="608"/>
      <c r="V33" s="608"/>
      <c r="W33" s="608"/>
      <c r="X33" s="608"/>
      <c r="Y33" s="608"/>
      <c r="Z33" s="608"/>
      <c r="AA33" s="608"/>
      <c r="AB33" s="608"/>
      <c r="AC33" s="608"/>
    </row>
    <row r="34" spans="1:34" ht="28.5" customHeight="1" x14ac:dyDescent="0.3">
      <c r="A34" s="18"/>
      <c r="B34" s="19"/>
      <c r="C34" s="19"/>
      <c r="D34" s="19"/>
      <c r="E34" s="19"/>
      <c r="F34" s="20"/>
      <c r="G34" s="19"/>
      <c r="H34" s="19"/>
      <c r="I34" s="602" t="s">
        <v>3</v>
      </c>
      <c r="J34" s="602"/>
      <c r="K34" s="602"/>
      <c r="L34" s="602"/>
      <c r="M34" s="602"/>
      <c r="N34" s="602"/>
      <c r="O34" s="602"/>
      <c r="P34" s="602"/>
      <c r="Q34" s="602"/>
      <c r="R34" s="119"/>
      <c r="S34" s="602" t="s">
        <v>72</v>
      </c>
      <c r="T34" s="602"/>
      <c r="U34" s="602"/>
      <c r="V34" s="602"/>
      <c r="W34" s="602"/>
      <c r="X34" s="609" t="s">
        <v>4</v>
      </c>
      <c r="Y34" s="609"/>
      <c r="Z34" s="609"/>
      <c r="AA34" s="609"/>
      <c r="AB34" s="609"/>
      <c r="AC34" s="610" t="s">
        <v>40</v>
      </c>
    </row>
    <row r="35" spans="1:34" s="12" customFormat="1" ht="88.5" customHeight="1" x14ac:dyDescent="0.25">
      <c r="A35" s="22" t="s">
        <v>5</v>
      </c>
      <c r="B35" s="22" t="s">
        <v>6</v>
      </c>
      <c r="C35" s="22" t="s">
        <v>7</v>
      </c>
      <c r="D35" s="22" t="s">
        <v>8</v>
      </c>
      <c r="E35" s="22" t="s">
        <v>9</v>
      </c>
      <c r="F35" s="23" t="s">
        <v>5</v>
      </c>
      <c r="G35" s="24" t="s">
        <v>10</v>
      </c>
      <c r="H35" s="25"/>
      <c r="I35" s="108" t="s">
        <v>51</v>
      </c>
      <c r="J35" s="108" t="s">
        <v>12</v>
      </c>
      <c r="K35" s="108" t="s">
        <v>52</v>
      </c>
      <c r="L35" s="108" t="s">
        <v>24</v>
      </c>
      <c r="M35" s="108" t="s">
        <v>25</v>
      </c>
      <c r="N35" s="108" t="s">
        <v>26</v>
      </c>
      <c r="O35" s="108" t="s">
        <v>27</v>
      </c>
      <c r="P35" s="108" t="s">
        <v>28</v>
      </c>
      <c r="Q35" s="108" t="s">
        <v>29</v>
      </c>
      <c r="R35" s="108" t="s">
        <v>47</v>
      </c>
      <c r="S35" s="109" t="s">
        <v>14</v>
      </c>
      <c r="T35" s="109" t="s">
        <v>79</v>
      </c>
      <c r="U35" s="109" t="s">
        <v>15</v>
      </c>
      <c r="V35" s="109" t="s">
        <v>16</v>
      </c>
      <c r="W35" s="108" t="s">
        <v>48</v>
      </c>
      <c r="X35" s="109" t="s">
        <v>17</v>
      </c>
      <c r="Y35" s="109" t="s">
        <v>18</v>
      </c>
      <c r="Z35" s="109" t="s">
        <v>19</v>
      </c>
      <c r="AA35" s="109" t="s">
        <v>20</v>
      </c>
      <c r="AB35" s="109" t="s">
        <v>21</v>
      </c>
      <c r="AC35" s="610"/>
    </row>
    <row r="36" spans="1:34" s="15" customFormat="1" ht="90" customHeight="1" x14ac:dyDescent="0.25">
      <c r="A36" s="29"/>
      <c r="B36" s="30"/>
      <c r="C36" s="30"/>
      <c r="D36" s="27"/>
      <c r="E36" s="27"/>
      <c r="F36" s="29"/>
      <c r="G36" s="27"/>
      <c r="H36" s="27"/>
      <c r="I36" s="603" t="s">
        <v>33</v>
      </c>
      <c r="J36" s="604" t="s">
        <v>57</v>
      </c>
      <c r="K36" s="604" t="s">
        <v>69</v>
      </c>
      <c r="L36" s="605">
        <v>180</v>
      </c>
      <c r="M36" s="606">
        <v>200</v>
      </c>
      <c r="N36" s="606">
        <v>220</v>
      </c>
      <c r="O36" s="606">
        <v>250</v>
      </c>
      <c r="P36" s="613">
        <f>+O36</f>
        <v>250</v>
      </c>
      <c r="Q36" s="607" t="s">
        <v>22</v>
      </c>
      <c r="R36" s="604" t="s">
        <v>30</v>
      </c>
      <c r="S36" s="615">
        <v>9</v>
      </c>
      <c r="T36" s="611" t="s">
        <v>367</v>
      </c>
      <c r="U36" s="101" t="s">
        <v>362</v>
      </c>
      <c r="V36" s="113">
        <f>M36</f>
        <v>200</v>
      </c>
      <c r="W36" s="619" t="s">
        <v>75</v>
      </c>
      <c r="X36" s="616">
        <f>Y36+Z36+AA36</f>
        <v>2886983533</v>
      </c>
      <c r="Y36" s="617">
        <f>290000000-10000000</f>
        <v>280000000</v>
      </c>
      <c r="Z36" s="617">
        <f>2672603475-65619942</f>
        <v>2606983533</v>
      </c>
      <c r="AA36" s="614">
        <v>0</v>
      </c>
      <c r="AB36" s="106"/>
      <c r="AC36" s="614">
        <v>0</v>
      </c>
      <c r="AD36" s="39"/>
      <c r="AF36" s="17"/>
    </row>
    <row r="37" spans="1:34" s="15" customFormat="1" ht="60.75" customHeight="1" x14ac:dyDescent="0.25">
      <c r="A37" s="29"/>
      <c r="B37" s="30"/>
      <c r="C37" s="30"/>
      <c r="D37" s="27"/>
      <c r="E37" s="27"/>
      <c r="F37" s="29"/>
      <c r="G37" s="27"/>
      <c r="H37" s="27"/>
      <c r="I37" s="603"/>
      <c r="J37" s="604"/>
      <c r="K37" s="604"/>
      <c r="L37" s="605"/>
      <c r="M37" s="606"/>
      <c r="N37" s="606"/>
      <c r="O37" s="606"/>
      <c r="P37" s="613"/>
      <c r="Q37" s="607"/>
      <c r="R37" s="604"/>
      <c r="S37" s="615"/>
      <c r="T37" s="612"/>
      <c r="U37" s="121" t="s">
        <v>99</v>
      </c>
      <c r="V37" s="113">
        <v>200</v>
      </c>
      <c r="W37" s="619"/>
      <c r="X37" s="616"/>
      <c r="Y37" s="618"/>
      <c r="Z37" s="618"/>
      <c r="AA37" s="614"/>
      <c r="AB37" s="106"/>
      <c r="AC37" s="614"/>
      <c r="AF37" s="17"/>
    </row>
    <row r="38" spans="1:34" s="15" customFormat="1" ht="32.25" customHeight="1" x14ac:dyDescent="0.25">
      <c r="A38" s="29"/>
      <c r="B38" s="30"/>
      <c r="C38" s="30"/>
      <c r="D38" s="27"/>
      <c r="E38" s="27"/>
      <c r="F38" s="29"/>
      <c r="G38" s="27"/>
      <c r="H38" s="27"/>
      <c r="I38" s="608" t="s">
        <v>67</v>
      </c>
      <c r="J38" s="608"/>
      <c r="K38" s="608"/>
      <c r="L38" s="608"/>
      <c r="M38" s="608"/>
      <c r="N38" s="608"/>
      <c r="O38" s="608"/>
      <c r="P38" s="608"/>
      <c r="Q38" s="608"/>
      <c r="R38" s="608"/>
      <c r="S38" s="608"/>
      <c r="T38" s="608"/>
      <c r="U38" s="608"/>
      <c r="V38" s="608"/>
      <c r="W38" s="608"/>
      <c r="X38" s="608"/>
      <c r="Y38" s="608"/>
      <c r="Z38" s="608"/>
      <c r="AA38" s="608"/>
      <c r="AB38" s="608"/>
      <c r="AC38" s="608"/>
      <c r="AF38" s="17"/>
    </row>
    <row r="39" spans="1:34" ht="32.25" customHeight="1" x14ac:dyDescent="0.3">
      <c r="A39" s="18"/>
      <c r="B39" s="19"/>
      <c r="C39" s="19"/>
      <c r="D39" s="19"/>
      <c r="E39" s="19"/>
      <c r="F39" s="20"/>
      <c r="G39" s="19"/>
      <c r="H39" s="19"/>
      <c r="I39" s="608" t="s">
        <v>46</v>
      </c>
      <c r="J39" s="608"/>
      <c r="K39" s="608"/>
      <c r="L39" s="608"/>
      <c r="M39" s="608"/>
      <c r="N39" s="608"/>
      <c r="O39" s="608"/>
      <c r="P39" s="608"/>
      <c r="Q39" s="608"/>
      <c r="R39" s="608"/>
      <c r="S39" s="608"/>
      <c r="T39" s="608"/>
      <c r="U39" s="608"/>
      <c r="V39" s="608"/>
      <c r="W39" s="608"/>
      <c r="X39" s="608"/>
      <c r="Y39" s="608"/>
      <c r="Z39" s="608"/>
      <c r="AA39" s="608"/>
      <c r="AB39" s="608"/>
      <c r="AC39" s="608"/>
    </row>
    <row r="40" spans="1:34" ht="33" customHeight="1" x14ac:dyDescent="0.3">
      <c r="A40" s="18"/>
      <c r="B40" s="19"/>
      <c r="C40" s="19"/>
      <c r="D40" s="19"/>
      <c r="E40" s="19"/>
      <c r="F40" s="20"/>
      <c r="G40" s="19"/>
      <c r="H40" s="19"/>
      <c r="I40" s="608" t="s">
        <v>39</v>
      </c>
      <c r="J40" s="608"/>
      <c r="K40" s="608"/>
      <c r="L40" s="608"/>
      <c r="M40" s="608"/>
      <c r="N40" s="608"/>
      <c r="O40" s="608"/>
      <c r="P40" s="608"/>
      <c r="Q40" s="608"/>
      <c r="R40" s="608"/>
      <c r="S40" s="608"/>
      <c r="T40" s="608"/>
      <c r="U40" s="608"/>
      <c r="V40" s="608"/>
      <c r="W40" s="608"/>
      <c r="X40" s="608"/>
      <c r="Y40" s="608"/>
      <c r="Z40" s="608"/>
      <c r="AA40" s="608"/>
      <c r="AB40" s="608"/>
      <c r="AC40" s="608"/>
    </row>
    <row r="41" spans="1:34" ht="20.25" customHeight="1" x14ac:dyDescent="0.3">
      <c r="A41" s="18"/>
      <c r="B41" s="19"/>
      <c r="C41" s="19"/>
      <c r="D41" s="19"/>
      <c r="E41" s="19"/>
      <c r="F41" s="20"/>
      <c r="G41" s="19"/>
      <c r="H41" s="19"/>
      <c r="I41" s="602" t="s">
        <v>3</v>
      </c>
      <c r="J41" s="602"/>
      <c r="K41" s="602"/>
      <c r="L41" s="602"/>
      <c r="M41" s="602"/>
      <c r="N41" s="602"/>
      <c r="O41" s="602"/>
      <c r="P41" s="602"/>
      <c r="Q41" s="602"/>
      <c r="R41" s="119"/>
      <c r="S41" s="602" t="s">
        <v>72</v>
      </c>
      <c r="T41" s="602"/>
      <c r="U41" s="602"/>
      <c r="V41" s="602"/>
      <c r="W41" s="602"/>
      <c r="X41" s="609" t="s">
        <v>4</v>
      </c>
      <c r="Y41" s="609"/>
      <c r="Z41" s="609"/>
      <c r="AA41" s="609"/>
      <c r="AB41" s="609"/>
      <c r="AC41" s="610" t="s">
        <v>40</v>
      </c>
    </row>
    <row r="42" spans="1:34" s="12" customFormat="1" ht="66.75" customHeight="1" x14ac:dyDescent="0.25">
      <c r="A42" s="22" t="s">
        <v>5</v>
      </c>
      <c r="B42" s="22" t="s">
        <v>6</v>
      </c>
      <c r="C42" s="22" t="s">
        <v>7</v>
      </c>
      <c r="D42" s="22" t="s">
        <v>8</v>
      </c>
      <c r="E42" s="22" t="s">
        <v>9</v>
      </c>
      <c r="F42" s="23" t="s">
        <v>5</v>
      </c>
      <c r="G42" s="24" t="s">
        <v>10</v>
      </c>
      <c r="H42" s="25"/>
      <c r="I42" s="108" t="s">
        <v>51</v>
      </c>
      <c r="J42" s="108" t="s">
        <v>12</v>
      </c>
      <c r="K42" s="108" t="s">
        <v>52</v>
      </c>
      <c r="L42" s="108" t="s">
        <v>24</v>
      </c>
      <c r="M42" s="108" t="s">
        <v>25</v>
      </c>
      <c r="N42" s="108" t="s">
        <v>26</v>
      </c>
      <c r="O42" s="108" t="s">
        <v>27</v>
      </c>
      <c r="P42" s="108" t="s">
        <v>28</v>
      </c>
      <c r="Q42" s="108" t="s">
        <v>29</v>
      </c>
      <c r="R42" s="108" t="s">
        <v>47</v>
      </c>
      <c r="S42" s="109" t="s">
        <v>14</v>
      </c>
      <c r="T42" s="109" t="s">
        <v>79</v>
      </c>
      <c r="U42" s="109" t="s">
        <v>15</v>
      </c>
      <c r="V42" s="109" t="s">
        <v>16</v>
      </c>
      <c r="W42" s="108" t="s">
        <v>48</v>
      </c>
      <c r="X42" s="109" t="s">
        <v>17</v>
      </c>
      <c r="Y42" s="109" t="s">
        <v>18</v>
      </c>
      <c r="Z42" s="109" t="s">
        <v>19</v>
      </c>
      <c r="AA42" s="109" t="s">
        <v>20</v>
      </c>
      <c r="AB42" s="109" t="s">
        <v>21</v>
      </c>
      <c r="AC42" s="610"/>
    </row>
    <row r="43" spans="1:34" s="14" customFormat="1" ht="86.25" customHeight="1" x14ac:dyDescent="0.45">
      <c r="A43" s="26"/>
      <c r="B43" s="21"/>
      <c r="C43" s="21"/>
      <c r="D43" s="21"/>
      <c r="E43" s="21"/>
      <c r="F43" s="26"/>
      <c r="G43" s="21"/>
      <c r="H43" s="21"/>
      <c r="I43" s="603" t="s">
        <v>54</v>
      </c>
      <c r="J43" s="103" t="s">
        <v>45</v>
      </c>
      <c r="K43" s="103" t="s">
        <v>70</v>
      </c>
      <c r="L43" s="117">
        <v>5</v>
      </c>
      <c r="M43" s="117">
        <v>10</v>
      </c>
      <c r="N43" s="117">
        <v>1</v>
      </c>
      <c r="O43" s="117">
        <v>0</v>
      </c>
      <c r="P43" s="102">
        <f>SUM(L43:O43)</f>
        <v>16</v>
      </c>
      <c r="Q43" s="103" t="s">
        <v>22</v>
      </c>
      <c r="R43" s="126" t="s">
        <v>30</v>
      </c>
      <c r="S43" s="102">
        <v>10</v>
      </c>
      <c r="T43" s="126" t="s">
        <v>104</v>
      </c>
      <c r="U43" s="126" t="s">
        <v>105</v>
      </c>
      <c r="V43" s="127">
        <v>10</v>
      </c>
      <c r="W43" s="128" t="s">
        <v>76</v>
      </c>
      <c r="X43" s="125">
        <f>Y43+Z43+AA43</f>
        <v>0</v>
      </c>
      <c r="Y43" s="124">
        <v>0</v>
      </c>
      <c r="Z43" s="124">
        <v>0</v>
      </c>
      <c r="AA43" s="124">
        <v>0</v>
      </c>
      <c r="AB43" s="106"/>
      <c r="AC43" s="124">
        <v>0</v>
      </c>
      <c r="AH43" s="189"/>
    </row>
    <row r="44" spans="1:34" s="14" customFormat="1" ht="161.25" customHeight="1" x14ac:dyDescent="0.3">
      <c r="A44" s="26"/>
      <c r="B44" s="21"/>
      <c r="C44" s="21"/>
      <c r="D44" s="21"/>
      <c r="E44" s="21"/>
      <c r="F44" s="26"/>
      <c r="G44" s="21"/>
      <c r="H44" s="21"/>
      <c r="I44" s="603"/>
      <c r="J44" s="103" t="s">
        <v>55</v>
      </c>
      <c r="K44" s="103" t="s">
        <v>56</v>
      </c>
      <c r="L44" s="117">
        <v>0</v>
      </c>
      <c r="M44" s="117">
        <v>2</v>
      </c>
      <c r="N44" s="117">
        <v>2</v>
      </c>
      <c r="O44" s="117">
        <v>2</v>
      </c>
      <c r="P44" s="102">
        <f>SUM(L44:O44)</f>
        <v>6</v>
      </c>
      <c r="Q44" s="103" t="s">
        <v>22</v>
      </c>
      <c r="R44" s="126" t="s">
        <v>30</v>
      </c>
      <c r="S44" s="102">
        <v>11</v>
      </c>
      <c r="T44" s="126" t="s">
        <v>106</v>
      </c>
      <c r="U44" s="126" t="s">
        <v>105</v>
      </c>
      <c r="V44" s="127">
        <v>2</v>
      </c>
      <c r="W44" s="128" t="s">
        <v>76</v>
      </c>
      <c r="X44" s="125">
        <f>Y44+Z44+AA44</f>
        <v>0</v>
      </c>
      <c r="Y44" s="124">
        <v>0</v>
      </c>
      <c r="Z44" s="124">
        <v>0</v>
      </c>
      <c r="AA44" s="124">
        <v>0</v>
      </c>
      <c r="AB44" s="106"/>
      <c r="AC44" s="124">
        <v>0</v>
      </c>
    </row>
    <row r="45" spans="1:34" ht="36.75" customHeight="1" x14ac:dyDescent="0.35">
      <c r="I45" s="601" t="s">
        <v>53</v>
      </c>
      <c r="J45" s="601"/>
      <c r="K45" s="601"/>
      <c r="L45" s="601"/>
      <c r="M45" s="601"/>
      <c r="N45" s="601"/>
      <c r="O45" s="601"/>
      <c r="P45" s="601"/>
      <c r="Q45" s="601"/>
      <c r="R45" s="601"/>
      <c r="S45" s="601"/>
      <c r="T45" s="601"/>
      <c r="U45" s="601"/>
      <c r="V45" s="601"/>
      <c r="W45" s="601"/>
      <c r="X45" s="52">
        <f>Y45+Z45+AA45</f>
        <v>3499185124</v>
      </c>
      <c r="Y45" s="52">
        <f>SUBTOTAL(9,Y11:Y44)</f>
        <v>892201591</v>
      </c>
      <c r="Z45" s="52">
        <f>SUBTOTAL(9,Z1:Z44)</f>
        <v>2606983533</v>
      </c>
      <c r="AA45" s="177">
        <f>SUBTOTAL(9,AA11:AA44)</f>
        <v>0</v>
      </c>
      <c r="AB45" s="52">
        <f>SUBTOTAL(9,AB11:AB43)</f>
        <v>0</v>
      </c>
      <c r="AC45" s="52">
        <f>SUBTOTAL(9,AC11:AC44)</f>
        <v>47383335</v>
      </c>
    </row>
    <row r="49" spans="9:26" s="9" customFormat="1" ht="23.25" x14ac:dyDescent="0.25">
      <c r="I49" s="295" t="s">
        <v>393</v>
      </c>
      <c r="X49" s="38"/>
      <c r="Y49" s="38"/>
      <c r="Z49" s="52"/>
    </row>
    <row r="52" spans="9:26" s="9" customFormat="1" ht="60" customHeight="1" x14ac:dyDescent="0.2"/>
  </sheetData>
  <dataConsolidate link="1"/>
  <mergeCells count="66">
    <mergeCell ref="I12:AC12"/>
    <mergeCell ref="J15:J19"/>
    <mergeCell ref="N15:N19"/>
    <mergeCell ref="X13:AB13"/>
    <mergeCell ref="I26:AC26"/>
    <mergeCell ref="O15:O19"/>
    <mergeCell ref="I22:AC22"/>
    <mergeCell ref="AC23:AC24"/>
    <mergeCell ref="I21:AC21"/>
    <mergeCell ref="K15:K19"/>
    <mergeCell ref="L15:L19"/>
    <mergeCell ref="M15:M19"/>
    <mergeCell ref="I20:AB20"/>
    <mergeCell ref="I15:I19"/>
    <mergeCell ref="AC13:AC14"/>
    <mergeCell ref="R13:W13"/>
    <mergeCell ref="U2:AC2"/>
    <mergeCell ref="U3:AC3"/>
    <mergeCell ref="U4:AC4"/>
    <mergeCell ref="I7:AC7"/>
    <mergeCell ref="I6:AB6"/>
    <mergeCell ref="P15:P19"/>
    <mergeCell ref="Q15:Q19"/>
    <mergeCell ref="R15:R19"/>
    <mergeCell ref="I13:Q13"/>
    <mergeCell ref="S29:W29"/>
    <mergeCell ref="I29:Q29"/>
    <mergeCell ref="I28:AC28"/>
    <mergeCell ref="I23:Q23"/>
    <mergeCell ref="X23:AB23"/>
    <mergeCell ref="R23:W23"/>
    <mergeCell ref="AC29:AC30"/>
    <mergeCell ref="X29:AB29"/>
    <mergeCell ref="I27:AC27"/>
    <mergeCell ref="AC36:AC37"/>
    <mergeCell ref="S36:S37"/>
    <mergeCell ref="X36:X37"/>
    <mergeCell ref="Y36:Y37"/>
    <mergeCell ref="Z36:Z37"/>
    <mergeCell ref="AA36:AA37"/>
    <mergeCell ref="W36:W37"/>
    <mergeCell ref="I33:AC33"/>
    <mergeCell ref="X34:AB34"/>
    <mergeCell ref="X41:AB41"/>
    <mergeCell ref="AC41:AC42"/>
    <mergeCell ref="I36:I37"/>
    <mergeCell ref="S41:W41"/>
    <mergeCell ref="AC34:AC35"/>
    <mergeCell ref="I34:Q34"/>
    <mergeCell ref="T36:T37"/>
    <mergeCell ref="S34:W34"/>
    <mergeCell ref="I39:AC39"/>
    <mergeCell ref="I40:AC40"/>
    <mergeCell ref="P36:P37"/>
    <mergeCell ref="O36:O37"/>
    <mergeCell ref="N36:N37"/>
    <mergeCell ref="I38:AC38"/>
    <mergeCell ref="I45:W45"/>
    <mergeCell ref="I41:Q41"/>
    <mergeCell ref="I43:I44"/>
    <mergeCell ref="J36:J37"/>
    <mergeCell ref="K36:K37"/>
    <mergeCell ref="L36:L37"/>
    <mergeCell ref="M36:M37"/>
    <mergeCell ref="R36:R37"/>
    <mergeCell ref="Q36:Q37"/>
  </mergeCells>
  <conditionalFormatting sqref="L32:O32">
    <cfRule type="expression" dxfId="151" priority="142" stopIfTrue="1">
      <formula>+IF((#REF!+#REF!+#REF!+#REF!+#REF!)&lt;&gt;$L32,1,0)</formula>
    </cfRule>
  </conditionalFormatting>
  <conditionalFormatting sqref="J11:K11 J15:K18 J32:K32 W32 AB32">
    <cfRule type="expression" dxfId="150" priority="131" stopIfTrue="1">
      <formula>+IF((#REF!+#REF!+#REF!+#REF!+#REF!)&lt;&gt;$M11,1,0)</formula>
    </cfRule>
  </conditionalFormatting>
  <conditionalFormatting sqref="L43:O44">
    <cfRule type="expression" dxfId="149" priority="118" stopIfTrue="1">
      <formula>+IF((#REF!+#REF!+#REF!+#REF!+#REF!)&lt;&gt;$L43,1,0)</formula>
    </cfRule>
  </conditionalFormatting>
  <conditionalFormatting sqref="L15:O18">
    <cfRule type="expression" dxfId="148" priority="78" stopIfTrue="1">
      <formula>+IF((#REF!+#REF!+#REF!+#REF!+#REF!)&lt;&gt;$L15,1,0)</formula>
    </cfRule>
  </conditionalFormatting>
  <conditionalFormatting sqref="J11">
    <cfRule type="expression" dxfId="147" priority="77" stopIfTrue="1">
      <formula>+IF((#REF!+#REF!+#REF!+#REF!+#REF!)&lt;&gt;$M11,1,0)</formula>
    </cfRule>
  </conditionalFormatting>
  <conditionalFormatting sqref="K11">
    <cfRule type="expression" dxfId="146" priority="76" stopIfTrue="1">
      <formula>+IF((#REF!+#REF!+#REF!+#REF!+#REF!)&lt;&gt;$M11,1,0)</formula>
    </cfRule>
  </conditionalFormatting>
  <conditionalFormatting sqref="L32:O32">
    <cfRule type="expression" dxfId="145" priority="75" stopIfTrue="1">
      <formula>+IF((#REF!+#REF!+#REF!+#REF!+#REF!)&lt;&gt;$L32,1,0)</formula>
    </cfRule>
  </conditionalFormatting>
  <conditionalFormatting sqref="J32">
    <cfRule type="expression" dxfId="144" priority="73" stopIfTrue="1">
      <formula>+IF((#REF!+#REF!+#REF!+#REF!+#REF!)&lt;&gt;$M32,1,0)</formula>
    </cfRule>
  </conditionalFormatting>
  <conditionalFormatting sqref="K32 W32 AB32">
    <cfRule type="expression" dxfId="143" priority="72" stopIfTrue="1">
      <formula>+IF((#REF!+#REF!+#REF!+#REF!+#REF!)&lt;&gt;$M32,1,0)</formula>
    </cfRule>
  </conditionalFormatting>
  <conditionalFormatting sqref="L43:O44">
    <cfRule type="expression" dxfId="142" priority="63" stopIfTrue="1">
      <formula>+IF((#REF!+#REF!+#REF!+#REF!+#REF!)&lt;&gt;$L43,1,0)</formula>
    </cfRule>
  </conditionalFormatting>
  <conditionalFormatting sqref="L24:O24">
    <cfRule type="expression" dxfId="141" priority="52" stopIfTrue="1">
      <formula>+IF((#REF!+#REF!+#REF!+#REF!+#REF!)&lt;&gt;$L24,1,0)</formula>
    </cfRule>
  </conditionalFormatting>
  <conditionalFormatting sqref="J24:K24">
    <cfRule type="expression" dxfId="140" priority="51" stopIfTrue="1">
      <formula>+IF((#REF!+#REF!+#REF!+#REF!+#REF!)&lt;&gt;$M24,1,0)</formula>
    </cfRule>
  </conditionalFormatting>
  <conditionalFormatting sqref="L24:O24">
    <cfRule type="expression" dxfId="139" priority="50" stopIfTrue="1">
      <formula>+IF((#REF!+#REF!+#REF!+#REF!+#REF!)&lt;&gt;$L24,1,0)</formula>
    </cfRule>
  </conditionalFormatting>
  <conditionalFormatting sqref="J24">
    <cfRule type="expression" dxfId="138" priority="49" stopIfTrue="1">
      <formula>+IF((#REF!+#REF!+#REF!+#REF!+#REF!)&lt;&gt;$M24,1,0)</formula>
    </cfRule>
  </conditionalFormatting>
  <conditionalFormatting sqref="K24">
    <cfRule type="expression" dxfId="137" priority="48" stopIfTrue="1">
      <formula>+IF((#REF!+#REF!+#REF!+#REF!+#REF!)&lt;&gt;$M24,1,0)</formula>
    </cfRule>
  </conditionalFormatting>
  <conditionalFormatting sqref="U36">
    <cfRule type="expression" dxfId="136" priority="35" stopIfTrue="1">
      <formula>+IF((#REF!+#REF!+#REF!+#REF!+#REF!)&lt;&gt;$M36,1,0)</formula>
    </cfRule>
  </conditionalFormatting>
  <conditionalFormatting sqref="V36:W36">
    <cfRule type="expression" dxfId="135" priority="37" stopIfTrue="1">
      <formula>+IF((#REF!+#REF!+#REF!+#REF!+#REF!)&lt;&gt;$L36,1,0)</formula>
    </cfRule>
  </conditionalFormatting>
  <conditionalFormatting sqref="V36:W36">
    <cfRule type="expression" dxfId="134" priority="36" stopIfTrue="1">
      <formula>+IF((#REF!+#REF!+#REF!+#REF!+#REF!)&lt;&gt;$L36,1,0)</formula>
    </cfRule>
  </conditionalFormatting>
  <conditionalFormatting sqref="U36">
    <cfRule type="expression" dxfId="133" priority="34" stopIfTrue="1">
      <formula>+IF((#REF!+#REF!+#REF!+#REF!+#REF!)&lt;&gt;$M36,1,0)</formula>
    </cfRule>
  </conditionalFormatting>
  <conditionalFormatting sqref="T32">
    <cfRule type="expression" dxfId="132" priority="33" stopIfTrue="1">
      <formula>+IF((#REF!+#REF!+#REF!+#REF!+#REF!)&lt;&gt;$M32,1,0)</formula>
    </cfRule>
  </conditionalFormatting>
  <conditionalFormatting sqref="T32">
    <cfRule type="expression" dxfId="131" priority="32" stopIfTrue="1">
      <formula>+IF((#REF!+#REF!+#REF!+#REF!+#REF!)&lt;&gt;$M32,1,0)</formula>
    </cfRule>
  </conditionalFormatting>
  <conditionalFormatting sqref="U32">
    <cfRule type="expression" dxfId="130" priority="31" stopIfTrue="1">
      <formula>+IF((#REF!+#REF!+#REF!+#REF!+#REF!)&lt;&gt;$M32,1,0)</formula>
    </cfRule>
  </conditionalFormatting>
  <conditionalFormatting sqref="U32">
    <cfRule type="expression" dxfId="129" priority="30" stopIfTrue="1">
      <formula>+IF((#REF!+#REF!+#REF!+#REF!+#REF!)&lt;&gt;$M32,1,0)</formula>
    </cfRule>
  </conditionalFormatting>
  <conditionalFormatting sqref="L31:O31">
    <cfRule type="expression" dxfId="128" priority="21" stopIfTrue="1">
      <formula>+IF((#REF!+#REF!+#REF!+#REF!+#REF!)&lt;&gt;$L31,1,0)</formula>
    </cfRule>
  </conditionalFormatting>
  <conditionalFormatting sqref="J31:K31">
    <cfRule type="expression" dxfId="127" priority="20" stopIfTrue="1">
      <formula>+IF((#REF!+#REF!+#REF!+#REF!+#REF!)&lt;&gt;$M31,1,0)</formula>
    </cfRule>
  </conditionalFormatting>
  <conditionalFormatting sqref="L31:O31">
    <cfRule type="expression" dxfId="126" priority="19" stopIfTrue="1">
      <formula>+IF((#REF!+#REF!+#REF!+#REF!+#REF!)&lt;&gt;$L31,1,0)</formula>
    </cfRule>
  </conditionalFormatting>
  <conditionalFormatting sqref="J31">
    <cfRule type="expression" dxfId="125" priority="18" stopIfTrue="1">
      <formula>+IF((#REF!+#REF!+#REF!+#REF!+#REF!)&lt;&gt;$M31,1,0)</formula>
    </cfRule>
  </conditionalFormatting>
  <conditionalFormatting sqref="K31">
    <cfRule type="expression" dxfId="124" priority="17" stopIfTrue="1">
      <formula>+IF((#REF!+#REF!+#REF!+#REF!+#REF!)&lt;&gt;$M31,1,0)</formula>
    </cfRule>
  </conditionalFormatting>
  <conditionalFormatting sqref="T31:U31 AB31 W31:X31">
    <cfRule type="expression" dxfId="123" priority="16" stopIfTrue="1">
      <formula>+IF((#REF!+#REF!+#REF!+#REF!+#REF!)&lt;&gt;$M31,1,0)</formula>
    </cfRule>
  </conditionalFormatting>
  <conditionalFormatting sqref="T31:U31 AB31 W31:X31">
    <cfRule type="expression" dxfId="122" priority="15" stopIfTrue="1">
      <formula>+IF((#REF!+#REF!+#REF!+#REF!+#REF!)&lt;&gt;$M31,1,0)</formula>
    </cfRule>
  </conditionalFormatting>
  <conditionalFormatting sqref="AC31">
    <cfRule type="expression" dxfId="121" priority="12" stopIfTrue="1">
      <formula>+IF((#REF!+#REF!+#REF!+#REF!+#REF!)&lt;&gt;$M31,1,0)</formula>
    </cfRule>
  </conditionalFormatting>
  <conditionalFormatting sqref="AC31">
    <cfRule type="expression" dxfId="120" priority="11" stopIfTrue="1">
      <formula>+IF((#REF!+#REF!+#REF!+#REF!+#REF!)&lt;&gt;$M31,1,0)</formula>
    </cfRule>
  </conditionalFormatting>
  <conditionalFormatting sqref="Y31">
    <cfRule type="expression" dxfId="119" priority="10" stopIfTrue="1">
      <formula>+IF((#REF!+#REF!+#REF!+#REF!+#REF!)&lt;&gt;$M31,1,0)</formula>
    </cfRule>
  </conditionalFormatting>
  <conditionalFormatting sqref="Y31">
    <cfRule type="expression" dxfId="118" priority="9" stopIfTrue="1">
      <formula>+IF((#REF!+#REF!+#REF!+#REF!+#REF!)&lt;&gt;$M31,1,0)</formula>
    </cfRule>
  </conditionalFormatting>
  <conditionalFormatting sqref="L36:O36">
    <cfRule type="expression" dxfId="117" priority="8" stopIfTrue="1">
      <formula>+IF((#REF!+#REF!+#REF!+#REF!+#REF!)&lt;&gt;$L36,1,0)</formula>
    </cfRule>
  </conditionalFormatting>
  <conditionalFormatting sqref="L36:O36 V37">
    <cfRule type="expression" dxfId="116" priority="7" stopIfTrue="1">
      <formula>+IF((#REF!+#REF!+#REF!+#REF!+#REF!)&lt;&gt;$L36,1,0)</formula>
    </cfRule>
  </conditionalFormatting>
  <conditionalFormatting sqref="V37">
    <cfRule type="expression" dxfId="115" priority="5" stopIfTrue="1">
      <formula>+IF((#REF!+#REF!+#REF!+#REF!+#REF!)&lt;&gt;$L37,1,0)</formula>
    </cfRule>
  </conditionalFormatting>
  <conditionalFormatting sqref="U37">
    <cfRule type="expression" dxfId="114" priority="4" stopIfTrue="1">
      <formula>+IF((#REF!+#REF!+#REF!+#REF!+#REF!)&lt;&gt;$M37,1,0)</formula>
    </cfRule>
  </conditionalFormatting>
  <conditionalFormatting sqref="U37">
    <cfRule type="expression" dxfId="113" priority="3" stopIfTrue="1">
      <formula>+IF((#REF!+#REF!+#REF!+#REF!+#REF!)&lt;&gt;$M37,1,0)</formula>
    </cfRule>
  </conditionalFormatting>
  <dataValidations count="1">
    <dataValidation type="list" allowBlank="1" showInputMessage="1" showErrorMessage="1" sqref="Q43:R44 Q31:R32 Q11:R11 Q15:R18 Q36:R36 Q38:R38">
      <formula1>#REF!</formula1>
    </dataValidation>
  </dataValidations>
  <pageMargins left="0.7" right="0.7" top="0.75" bottom="0.75" header="0.3" footer="0.3"/>
  <pageSetup scale="31" orientation="landscape" r:id="rId1"/>
  <ignoredErrors>
    <ignoredError sqref="X15:X19 X25 X32 X36:Z36 X43:X44" unlockedFormula="1"/>
  </ignoredError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2:AH52"/>
  <sheetViews>
    <sheetView topLeftCell="Z30" zoomScale="80" zoomScaleNormal="80" zoomScalePageLayoutView="70" workbookViewId="0">
      <selection activeCell="AC31" sqref="AC31"/>
    </sheetView>
  </sheetViews>
  <sheetFormatPr baseColWidth="10" defaultColWidth="11.42578125" defaultRowHeight="11.25" x14ac:dyDescent="0.2"/>
  <cols>
    <col min="1" max="1" width="4.7109375" style="1" hidden="1" customWidth="1"/>
    <col min="2" max="2" width="22.85546875" style="2" hidden="1" customWidth="1"/>
    <col min="3" max="5" width="22.7109375" style="2" hidden="1" customWidth="1"/>
    <col min="6" max="6" width="10.140625" style="3" hidden="1" customWidth="1"/>
    <col min="7" max="7" width="7.140625" style="2" hidden="1" customWidth="1"/>
    <col min="8" max="8" width="14.5703125" style="2" customWidth="1"/>
    <col min="9" max="9" width="33" style="2" customWidth="1"/>
    <col min="10" max="10" width="30.140625" style="4" customWidth="1"/>
    <col min="11" max="11" width="22.140625" style="5" customWidth="1"/>
    <col min="12" max="15" width="9.5703125" style="6" customWidth="1"/>
    <col min="16" max="16" width="8.28515625" style="7" customWidth="1"/>
    <col min="17" max="17" width="22" style="8" customWidth="1"/>
    <col min="18" max="18" width="28" style="8" customWidth="1"/>
    <col min="19" max="19" width="7.140625" style="6" customWidth="1"/>
    <col min="20" max="20" width="69.140625" style="9" customWidth="1"/>
    <col min="21" max="21" width="15.28515625" style="9" customWidth="1"/>
    <col min="22" max="22" width="11" style="9" customWidth="1"/>
    <col min="23" max="23" width="40.28515625" style="9" customWidth="1"/>
    <col min="24" max="24" width="22.28515625" style="9" customWidth="1"/>
    <col min="25" max="25" width="20.140625" style="9" customWidth="1"/>
    <col min="26" max="26" width="21.42578125" style="9" customWidth="1"/>
    <col min="27" max="27" width="17.28515625" style="9" customWidth="1"/>
    <col min="28" max="28" width="17.28515625" style="9" hidden="1" customWidth="1"/>
    <col min="29" max="29" width="20.85546875" style="9" customWidth="1"/>
    <col min="30" max="30" width="81.140625" style="9" customWidth="1"/>
    <col min="31" max="32" width="60.7109375" style="9" customWidth="1"/>
    <col min="33" max="33" width="70.7109375" style="9" customWidth="1"/>
    <col min="34" max="34" width="35.42578125" style="9" customWidth="1"/>
    <col min="35" max="16384" width="11.42578125" style="9"/>
  </cols>
  <sheetData>
    <row r="2" spans="1:34" ht="36" customHeight="1" x14ac:dyDescent="0.2">
      <c r="Q2" s="178"/>
      <c r="U2" s="620" t="s">
        <v>0</v>
      </c>
      <c r="V2" s="620"/>
      <c r="W2" s="620"/>
      <c r="X2" s="620"/>
      <c r="Y2" s="620"/>
      <c r="Z2" s="620"/>
      <c r="AA2" s="620"/>
      <c r="AB2" s="620"/>
      <c r="AC2" s="620"/>
    </row>
    <row r="3" spans="1:34" ht="23.25" customHeight="1" x14ac:dyDescent="0.25">
      <c r="A3" s="10" t="s">
        <v>1</v>
      </c>
      <c r="F3" s="2"/>
      <c r="J3" s="8"/>
      <c r="K3" s="8"/>
      <c r="M3" s="11"/>
      <c r="Q3" s="31"/>
      <c r="T3" s="6"/>
      <c r="U3" s="621" t="s">
        <v>49</v>
      </c>
      <c r="V3" s="621"/>
      <c r="W3" s="621"/>
      <c r="X3" s="621"/>
      <c r="Y3" s="621"/>
      <c r="Z3" s="621"/>
      <c r="AA3" s="621"/>
      <c r="AB3" s="621"/>
      <c r="AC3" s="621"/>
    </row>
    <row r="4" spans="1:34" ht="23.25" customHeight="1" x14ac:dyDescent="0.25">
      <c r="A4" s="10"/>
      <c r="F4" s="2"/>
      <c r="I4" s="13"/>
      <c r="J4" s="13"/>
      <c r="K4" s="13"/>
      <c r="L4" s="13"/>
      <c r="M4" s="13"/>
      <c r="N4" s="13"/>
      <c r="O4" s="13"/>
      <c r="P4" s="13"/>
      <c r="Q4" s="13"/>
      <c r="R4" s="13"/>
      <c r="S4" s="13"/>
      <c r="T4" s="13"/>
      <c r="U4" s="622" t="s">
        <v>49</v>
      </c>
      <c r="V4" s="622"/>
      <c r="W4" s="622"/>
      <c r="X4" s="622"/>
      <c r="Y4" s="622"/>
      <c r="Z4" s="622"/>
      <c r="AA4" s="622"/>
      <c r="AB4" s="622"/>
      <c r="AC4" s="622"/>
    </row>
    <row r="5" spans="1:34" ht="12" customHeight="1" x14ac:dyDescent="0.25">
      <c r="A5" s="10"/>
      <c r="F5" s="2"/>
      <c r="I5" s="13"/>
      <c r="J5" s="13"/>
      <c r="K5" s="13"/>
      <c r="L5" s="13"/>
      <c r="M5" s="13"/>
      <c r="N5" s="13"/>
      <c r="O5" s="13"/>
      <c r="P5" s="13"/>
      <c r="Q5" s="13"/>
      <c r="R5" s="13"/>
      <c r="S5" s="13"/>
      <c r="T5" s="13"/>
      <c r="U5" s="13"/>
      <c r="V5" s="13"/>
      <c r="W5" s="13"/>
      <c r="X5" s="13"/>
      <c r="Y5" s="13"/>
      <c r="Z5" s="13"/>
      <c r="AA5" s="13"/>
      <c r="AB5" s="13"/>
    </row>
    <row r="6" spans="1:34" ht="31.5" customHeight="1" x14ac:dyDescent="0.3">
      <c r="A6" s="18"/>
      <c r="B6" s="19"/>
      <c r="C6" s="19"/>
      <c r="D6" s="19"/>
      <c r="E6" s="19"/>
      <c r="F6" s="20"/>
      <c r="G6" s="19"/>
      <c r="H6" s="19"/>
      <c r="I6" s="625" t="s">
        <v>23</v>
      </c>
      <c r="J6" s="625"/>
      <c r="K6" s="625"/>
      <c r="L6" s="625"/>
      <c r="M6" s="625"/>
      <c r="N6" s="625"/>
      <c r="O6" s="625"/>
      <c r="P6" s="625"/>
      <c r="Q6" s="625"/>
      <c r="R6" s="625"/>
      <c r="S6" s="625"/>
      <c r="T6" s="625"/>
      <c r="U6" s="625"/>
      <c r="V6" s="625"/>
      <c r="W6" s="625"/>
      <c r="X6" s="625"/>
      <c r="Y6" s="625"/>
      <c r="Z6" s="625"/>
      <c r="AA6" s="625"/>
      <c r="AB6" s="625"/>
      <c r="AC6" s="284"/>
    </row>
    <row r="7" spans="1:34" ht="27" customHeight="1" x14ac:dyDescent="0.3">
      <c r="A7" s="18"/>
      <c r="B7" s="19"/>
      <c r="C7" s="19"/>
      <c r="D7" s="19"/>
      <c r="E7" s="19"/>
      <c r="F7" s="20"/>
      <c r="G7" s="19"/>
      <c r="H7" s="19"/>
      <c r="I7" s="625" t="s">
        <v>34</v>
      </c>
      <c r="J7" s="625"/>
      <c r="K7" s="625"/>
      <c r="L7" s="625"/>
      <c r="M7" s="625"/>
      <c r="N7" s="625"/>
      <c r="O7" s="625"/>
      <c r="P7" s="625"/>
      <c r="Q7" s="625"/>
      <c r="R7" s="625"/>
      <c r="S7" s="625"/>
      <c r="T7" s="625"/>
      <c r="U7" s="625"/>
      <c r="V7" s="625"/>
      <c r="W7" s="625"/>
      <c r="X7" s="625"/>
      <c r="Y7" s="625"/>
      <c r="Z7" s="625"/>
      <c r="AA7" s="625"/>
      <c r="AB7" s="625"/>
      <c r="AC7" s="625"/>
    </row>
    <row r="8" spans="1:34" ht="20.25" hidden="1" customHeight="1" x14ac:dyDescent="0.3">
      <c r="A8" s="18"/>
      <c r="B8" s="19"/>
      <c r="C8" s="19"/>
      <c r="D8" s="19"/>
      <c r="E8" s="19"/>
      <c r="F8" s="20"/>
      <c r="G8" s="19"/>
      <c r="H8" s="19"/>
      <c r="I8" s="92" t="s">
        <v>35</v>
      </c>
      <c r="J8" s="92"/>
      <c r="K8" s="92"/>
      <c r="L8" s="92"/>
      <c r="M8" s="92"/>
      <c r="N8" s="92"/>
      <c r="O8" s="92"/>
      <c r="P8" s="92"/>
      <c r="Q8" s="92"/>
      <c r="R8" s="92"/>
      <c r="S8" s="92"/>
      <c r="T8" s="92"/>
      <c r="U8" s="92"/>
      <c r="V8" s="92"/>
      <c r="W8" s="92"/>
      <c r="X8" s="92"/>
      <c r="Y8" s="92"/>
      <c r="Z8" s="92"/>
      <c r="AA8" s="92"/>
      <c r="AB8" s="92"/>
      <c r="AC8" s="92"/>
    </row>
    <row r="9" spans="1:34" ht="20.25" hidden="1" customHeight="1" x14ac:dyDescent="0.3">
      <c r="A9" s="18"/>
      <c r="B9" s="19"/>
      <c r="C9" s="19"/>
      <c r="D9" s="19"/>
      <c r="E9" s="19"/>
      <c r="F9" s="20"/>
      <c r="G9" s="19"/>
      <c r="H9" s="19"/>
      <c r="I9" s="93" t="s">
        <v>3</v>
      </c>
      <c r="J9" s="93"/>
      <c r="K9" s="93"/>
      <c r="L9" s="93"/>
      <c r="M9" s="93"/>
      <c r="N9" s="93"/>
      <c r="O9" s="93"/>
      <c r="P9" s="93"/>
      <c r="Q9" s="93"/>
      <c r="R9" s="94"/>
      <c r="S9" s="93" t="s">
        <v>32</v>
      </c>
      <c r="T9" s="93"/>
      <c r="U9" s="93"/>
      <c r="V9" s="93"/>
      <c r="W9" s="93"/>
      <c r="X9" s="95" t="s">
        <v>4</v>
      </c>
      <c r="Y9" s="95"/>
      <c r="Z9" s="95"/>
      <c r="AA9" s="95"/>
      <c r="AB9" s="95"/>
      <c r="AC9" s="96" t="s">
        <v>40</v>
      </c>
    </row>
    <row r="10" spans="1:34" s="12" customFormat="1" ht="49.5" hidden="1" customHeight="1" x14ac:dyDescent="0.25">
      <c r="A10" s="22" t="s">
        <v>5</v>
      </c>
      <c r="B10" s="22" t="s">
        <v>6</v>
      </c>
      <c r="C10" s="22" t="s">
        <v>7</v>
      </c>
      <c r="D10" s="22" t="s">
        <v>8</v>
      </c>
      <c r="E10" s="22" t="s">
        <v>9</v>
      </c>
      <c r="F10" s="23" t="s">
        <v>5</v>
      </c>
      <c r="G10" s="24" t="s">
        <v>10</v>
      </c>
      <c r="H10" s="25"/>
      <c r="I10" s="97" t="s">
        <v>11</v>
      </c>
      <c r="J10" s="97" t="s">
        <v>12</v>
      </c>
      <c r="K10" s="97" t="s">
        <v>13</v>
      </c>
      <c r="L10" s="97" t="s">
        <v>24</v>
      </c>
      <c r="M10" s="97" t="s">
        <v>25</v>
      </c>
      <c r="N10" s="97" t="s">
        <v>26</v>
      </c>
      <c r="O10" s="97" t="s">
        <v>27</v>
      </c>
      <c r="P10" s="97" t="s">
        <v>28</v>
      </c>
      <c r="Q10" s="97" t="s">
        <v>29</v>
      </c>
      <c r="R10" s="98" t="s">
        <v>47</v>
      </c>
      <c r="S10" s="99" t="s">
        <v>14</v>
      </c>
      <c r="T10" s="99" t="s">
        <v>31</v>
      </c>
      <c r="U10" s="99" t="s">
        <v>15</v>
      </c>
      <c r="V10" s="99" t="s">
        <v>16</v>
      </c>
      <c r="W10" s="99"/>
      <c r="X10" s="99" t="s">
        <v>17</v>
      </c>
      <c r="Y10" s="99" t="s">
        <v>18</v>
      </c>
      <c r="Z10" s="99" t="s">
        <v>19</v>
      </c>
      <c r="AA10" s="99" t="s">
        <v>20</v>
      </c>
      <c r="AB10" s="99" t="s">
        <v>21</v>
      </c>
      <c r="AC10" s="96"/>
    </row>
    <row r="11" spans="1:34" s="16" customFormat="1" ht="77.25" hidden="1" customHeight="1" x14ac:dyDescent="0.2">
      <c r="A11" s="29"/>
      <c r="B11" s="30"/>
      <c r="C11" s="30"/>
      <c r="D11" s="30"/>
      <c r="E11" s="27"/>
      <c r="F11" s="29"/>
      <c r="G11" s="27"/>
      <c r="H11" s="27"/>
      <c r="I11" s="390">
        <v>7</v>
      </c>
      <c r="J11" s="389" t="s">
        <v>41</v>
      </c>
      <c r="K11" s="389" t="s">
        <v>42</v>
      </c>
      <c r="L11" s="390">
        <v>1</v>
      </c>
      <c r="M11" s="390">
        <v>0</v>
      </c>
      <c r="N11" s="390">
        <v>1</v>
      </c>
      <c r="O11" s="390">
        <v>0</v>
      </c>
      <c r="P11" s="387">
        <f>SUM(L11:O11)</f>
        <v>2</v>
      </c>
      <c r="Q11" s="103" t="s">
        <v>22</v>
      </c>
      <c r="R11" s="103" t="s">
        <v>30</v>
      </c>
      <c r="S11" s="387">
        <v>1</v>
      </c>
      <c r="T11" s="103" t="s">
        <v>41</v>
      </c>
      <c r="U11" s="103" t="s">
        <v>44</v>
      </c>
      <c r="V11" s="104">
        <v>1</v>
      </c>
      <c r="W11" s="104"/>
      <c r="X11" s="105">
        <f>SUM(Y11:AB11)</f>
        <v>0</v>
      </c>
      <c r="Y11" s="388">
        <v>0</v>
      </c>
      <c r="Z11" s="388"/>
      <c r="AA11" s="107"/>
      <c r="AB11" s="107"/>
      <c r="AC11" s="388">
        <v>0</v>
      </c>
    </row>
    <row r="12" spans="1:34" ht="27" customHeight="1" x14ac:dyDescent="0.3">
      <c r="A12" s="18"/>
      <c r="B12" s="19"/>
      <c r="C12" s="19"/>
      <c r="D12" s="19"/>
      <c r="E12" s="19"/>
      <c r="F12" s="20"/>
      <c r="G12" s="19"/>
      <c r="H12" s="19"/>
      <c r="I12" s="625" t="s">
        <v>36</v>
      </c>
      <c r="J12" s="625"/>
      <c r="K12" s="625"/>
      <c r="L12" s="625"/>
      <c r="M12" s="625"/>
      <c r="N12" s="625"/>
      <c r="O12" s="625"/>
      <c r="P12" s="625"/>
      <c r="Q12" s="625"/>
      <c r="R12" s="625"/>
      <c r="S12" s="625"/>
      <c r="T12" s="625"/>
      <c r="U12" s="625"/>
      <c r="V12" s="625"/>
      <c r="W12" s="625"/>
      <c r="X12" s="625"/>
      <c r="Y12" s="625"/>
      <c r="Z12" s="625"/>
      <c r="AA12" s="625"/>
      <c r="AB12" s="625"/>
      <c r="AC12" s="625"/>
      <c r="AE12" s="643" t="s">
        <v>413</v>
      </c>
      <c r="AF12" s="643"/>
      <c r="AG12" s="643"/>
    </row>
    <row r="13" spans="1:34" ht="20.25" customHeight="1" x14ac:dyDescent="0.3">
      <c r="A13" s="18"/>
      <c r="B13" s="19"/>
      <c r="C13" s="19"/>
      <c r="D13" s="19"/>
      <c r="E13" s="19"/>
      <c r="F13" s="20"/>
      <c r="G13" s="19"/>
      <c r="H13" s="19"/>
      <c r="I13" s="637" t="s">
        <v>3</v>
      </c>
      <c r="J13" s="637"/>
      <c r="K13" s="637"/>
      <c r="L13" s="637"/>
      <c r="M13" s="637"/>
      <c r="N13" s="637"/>
      <c r="O13" s="637"/>
      <c r="P13" s="637"/>
      <c r="Q13" s="637"/>
      <c r="R13" s="637" t="s">
        <v>72</v>
      </c>
      <c r="S13" s="637"/>
      <c r="T13" s="637"/>
      <c r="U13" s="637"/>
      <c r="V13" s="637"/>
      <c r="W13" s="637"/>
      <c r="X13" s="638" t="s">
        <v>4</v>
      </c>
      <c r="Y13" s="638"/>
      <c r="Z13" s="638"/>
      <c r="AA13" s="638"/>
      <c r="AB13" s="638"/>
      <c r="AC13" s="639" t="s">
        <v>40</v>
      </c>
      <c r="AE13" s="650" t="s">
        <v>410</v>
      </c>
      <c r="AF13" s="651"/>
      <c r="AG13" s="627" t="s">
        <v>442</v>
      </c>
    </row>
    <row r="14" spans="1:34" s="12" customFormat="1" ht="27.75" customHeight="1" x14ac:dyDescent="0.25">
      <c r="A14" s="22" t="s">
        <v>5</v>
      </c>
      <c r="B14" s="22" t="s">
        <v>6</v>
      </c>
      <c r="C14" s="22" t="s">
        <v>7</v>
      </c>
      <c r="D14" s="22" t="s">
        <v>8</v>
      </c>
      <c r="E14" s="22" t="s">
        <v>9</v>
      </c>
      <c r="F14" s="23" t="s">
        <v>5</v>
      </c>
      <c r="G14" s="24" t="s">
        <v>10</v>
      </c>
      <c r="H14" s="48"/>
      <c r="I14" s="395" t="s">
        <v>51</v>
      </c>
      <c r="J14" s="395" t="s">
        <v>12</v>
      </c>
      <c r="K14" s="395" t="s">
        <v>52</v>
      </c>
      <c r="L14" s="395" t="s">
        <v>24</v>
      </c>
      <c r="M14" s="395" t="s">
        <v>25</v>
      </c>
      <c r="N14" s="395" t="s">
        <v>26</v>
      </c>
      <c r="O14" s="395" t="s">
        <v>27</v>
      </c>
      <c r="P14" s="395" t="s">
        <v>28</v>
      </c>
      <c r="Q14" s="395" t="s">
        <v>29</v>
      </c>
      <c r="R14" s="395" t="s">
        <v>47</v>
      </c>
      <c r="S14" s="396" t="s">
        <v>14</v>
      </c>
      <c r="T14" s="396" t="s">
        <v>79</v>
      </c>
      <c r="U14" s="396" t="s">
        <v>15</v>
      </c>
      <c r="V14" s="396" t="s">
        <v>16</v>
      </c>
      <c r="W14" s="395" t="s">
        <v>48</v>
      </c>
      <c r="X14" s="396" t="s">
        <v>17</v>
      </c>
      <c r="Y14" s="396" t="s">
        <v>18</v>
      </c>
      <c r="Z14" s="396" t="s">
        <v>19</v>
      </c>
      <c r="AA14" s="396" t="s">
        <v>361</v>
      </c>
      <c r="AB14" s="396" t="s">
        <v>21</v>
      </c>
      <c r="AC14" s="639"/>
      <c r="AD14" s="393" t="s">
        <v>423</v>
      </c>
      <c r="AE14" s="340" t="s">
        <v>408</v>
      </c>
      <c r="AF14" s="340" t="s">
        <v>409</v>
      </c>
      <c r="AG14" s="628"/>
    </row>
    <row r="15" spans="1:34" s="16" customFormat="1" ht="206.25" customHeight="1" x14ac:dyDescent="0.2">
      <c r="A15" s="29"/>
      <c r="B15" s="30"/>
      <c r="C15" s="30"/>
      <c r="D15" s="30"/>
      <c r="E15" s="27"/>
      <c r="F15" s="29"/>
      <c r="G15" s="27"/>
      <c r="H15" s="32"/>
      <c r="I15" s="634" t="s">
        <v>43</v>
      </c>
      <c r="J15" s="664" t="s">
        <v>50</v>
      </c>
      <c r="K15" s="665" t="s">
        <v>71</v>
      </c>
      <c r="L15" s="657">
        <v>3</v>
      </c>
      <c r="M15" s="658">
        <v>3</v>
      </c>
      <c r="N15" s="658">
        <v>3</v>
      </c>
      <c r="O15" s="658">
        <v>3</v>
      </c>
      <c r="P15" s="654">
        <f>SUM(L15:O15)</f>
        <v>12</v>
      </c>
      <c r="Q15" s="655" t="s">
        <v>22</v>
      </c>
      <c r="R15" s="647" t="s">
        <v>30</v>
      </c>
      <c r="S15" s="409">
        <v>1</v>
      </c>
      <c r="T15" s="397" t="s">
        <v>92</v>
      </c>
      <c r="U15" s="398" t="s">
        <v>93</v>
      </c>
      <c r="V15" s="399">
        <v>1</v>
      </c>
      <c r="W15" s="400" t="s">
        <v>74</v>
      </c>
      <c r="X15" s="401">
        <f>+Y15+Z15+AA15</f>
        <v>57001591</v>
      </c>
      <c r="Y15" s="402">
        <f>75000000-17998409</f>
        <v>57001591</v>
      </c>
      <c r="Z15" s="402">
        <v>0</v>
      </c>
      <c r="AA15" s="402">
        <v>0</v>
      </c>
      <c r="AB15" s="403"/>
      <c r="AC15" s="402">
        <v>0</v>
      </c>
      <c r="AD15" s="428" t="s">
        <v>563</v>
      </c>
      <c r="AE15" s="394" t="s">
        <v>540</v>
      </c>
      <c r="AF15" s="394" t="s">
        <v>564</v>
      </c>
      <c r="AG15" s="394" t="s">
        <v>580</v>
      </c>
      <c r="AH15" s="391" t="s">
        <v>572</v>
      </c>
    </row>
    <row r="16" spans="1:34" s="16" customFormat="1" ht="121.5" customHeight="1" x14ac:dyDescent="0.2">
      <c r="A16" s="29"/>
      <c r="B16" s="30"/>
      <c r="C16" s="30"/>
      <c r="D16" s="30"/>
      <c r="E16" s="27"/>
      <c r="F16" s="29"/>
      <c r="G16" s="27"/>
      <c r="H16" s="32"/>
      <c r="I16" s="634"/>
      <c r="J16" s="664"/>
      <c r="K16" s="665"/>
      <c r="L16" s="657"/>
      <c r="M16" s="658"/>
      <c r="N16" s="658"/>
      <c r="O16" s="658"/>
      <c r="P16" s="654"/>
      <c r="Q16" s="655"/>
      <c r="R16" s="647"/>
      <c r="S16" s="409">
        <v>2</v>
      </c>
      <c r="T16" s="397" t="s">
        <v>490</v>
      </c>
      <c r="U16" s="398" t="s">
        <v>94</v>
      </c>
      <c r="V16" s="399">
        <v>12</v>
      </c>
      <c r="W16" s="400" t="s">
        <v>80</v>
      </c>
      <c r="X16" s="401">
        <f>+Y16+Z16+AA16</f>
        <v>48000000</v>
      </c>
      <c r="Y16" s="402">
        <v>48000000</v>
      </c>
      <c r="Z16" s="402">
        <v>0</v>
      </c>
      <c r="AA16" s="402">
        <v>0</v>
      </c>
      <c r="AB16" s="403"/>
      <c r="AC16" s="402">
        <v>0</v>
      </c>
      <c r="AD16" s="428" t="s">
        <v>565</v>
      </c>
      <c r="AE16" s="394" t="s">
        <v>567</v>
      </c>
      <c r="AF16" s="394" t="s">
        <v>566</v>
      </c>
      <c r="AG16" s="394" t="s">
        <v>568</v>
      </c>
      <c r="AH16" s="391" t="s">
        <v>569</v>
      </c>
    </row>
    <row r="17" spans="1:34" s="16" customFormat="1" ht="80.25" customHeight="1" x14ac:dyDescent="0.2">
      <c r="A17" s="29"/>
      <c r="B17" s="30"/>
      <c r="C17" s="30"/>
      <c r="D17" s="30"/>
      <c r="E17" s="27"/>
      <c r="F17" s="29"/>
      <c r="G17" s="27"/>
      <c r="H17" s="32"/>
      <c r="I17" s="634"/>
      <c r="J17" s="664"/>
      <c r="K17" s="665"/>
      <c r="L17" s="657"/>
      <c r="M17" s="658"/>
      <c r="N17" s="658"/>
      <c r="O17" s="658"/>
      <c r="P17" s="654"/>
      <c r="Q17" s="655"/>
      <c r="R17" s="647"/>
      <c r="S17" s="409">
        <v>3</v>
      </c>
      <c r="T17" s="397" t="s">
        <v>95</v>
      </c>
      <c r="U17" s="397" t="s">
        <v>101</v>
      </c>
      <c r="V17" s="399">
        <v>1</v>
      </c>
      <c r="W17" s="400" t="s">
        <v>74</v>
      </c>
      <c r="X17" s="401">
        <f>Y17+Z17+AA17</f>
        <v>30000000</v>
      </c>
      <c r="Y17" s="402">
        <v>30000000</v>
      </c>
      <c r="Z17" s="402">
        <v>0</v>
      </c>
      <c r="AA17" s="402">
        <v>0</v>
      </c>
      <c r="AB17" s="403"/>
      <c r="AC17" s="402">
        <v>0</v>
      </c>
      <c r="AD17" s="429" t="s">
        <v>570</v>
      </c>
      <c r="AE17" s="394" t="s">
        <v>492</v>
      </c>
      <c r="AF17" s="394" t="s">
        <v>491</v>
      </c>
      <c r="AG17" s="394" t="s">
        <v>493</v>
      </c>
      <c r="AH17" s="391" t="s">
        <v>571</v>
      </c>
    </row>
    <row r="18" spans="1:34" s="16" customFormat="1" ht="121.5" customHeight="1" x14ac:dyDescent="0.2">
      <c r="A18" s="29"/>
      <c r="B18" s="30"/>
      <c r="C18" s="30"/>
      <c r="D18" s="30"/>
      <c r="E18" s="27"/>
      <c r="F18" s="29"/>
      <c r="G18" s="27"/>
      <c r="H18" s="32"/>
      <c r="I18" s="634"/>
      <c r="J18" s="664"/>
      <c r="K18" s="665"/>
      <c r="L18" s="657"/>
      <c r="M18" s="658"/>
      <c r="N18" s="658"/>
      <c r="O18" s="658"/>
      <c r="P18" s="654"/>
      <c r="Q18" s="655"/>
      <c r="R18" s="647"/>
      <c r="S18" s="409">
        <v>4</v>
      </c>
      <c r="T18" s="397" t="s">
        <v>97</v>
      </c>
      <c r="U18" s="397" t="s">
        <v>101</v>
      </c>
      <c r="V18" s="399">
        <v>1</v>
      </c>
      <c r="W18" s="400" t="s">
        <v>80</v>
      </c>
      <c r="X18" s="401">
        <f>Y18+Z18+AA18</f>
        <v>72700000</v>
      </c>
      <c r="Y18" s="402">
        <f>80500000-17800000+10000000</f>
        <v>72700000</v>
      </c>
      <c r="Z18" s="402">
        <v>0</v>
      </c>
      <c r="AA18" s="402">
        <v>0</v>
      </c>
      <c r="AB18" s="403"/>
      <c r="AC18" s="402">
        <v>0</v>
      </c>
      <c r="AD18" s="429" t="s">
        <v>574</v>
      </c>
      <c r="AE18" s="394" t="s">
        <v>575</v>
      </c>
      <c r="AF18" s="394" t="s">
        <v>576</v>
      </c>
      <c r="AG18" s="394" t="s">
        <v>577</v>
      </c>
      <c r="AH18" s="391" t="s">
        <v>573</v>
      </c>
    </row>
    <row r="19" spans="1:34" s="16" customFormat="1" ht="75.75" customHeight="1" x14ac:dyDescent="0.2">
      <c r="A19" s="29"/>
      <c r="B19" s="30"/>
      <c r="C19" s="30"/>
      <c r="D19" s="30"/>
      <c r="E19" s="27"/>
      <c r="F19" s="29"/>
      <c r="G19" s="27"/>
      <c r="H19" s="32"/>
      <c r="I19" s="634"/>
      <c r="J19" s="664"/>
      <c r="K19" s="665"/>
      <c r="L19" s="657"/>
      <c r="M19" s="658"/>
      <c r="N19" s="658"/>
      <c r="O19" s="658"/>
      <c r="P19" s="654"/>
      <c r="Q19" s="655"/>
      <c r="R19" s="647"/>
      <c r="S19" s="409">
        <v>5</v>
      </c>
      <c r="T19" s="397" t="s">
        <v>96</v>
      </c>
      <c r="U19" s="397" t="s">
        <v>101</v>
      </c>
      <c r="V19" s="399">
        <v>1</v>
      </c>
      <c r="W19" s="400" t="s">
        <v>80</v>
      </c>
      <c r="X19" s="401">
        <f>Y19+Z19+AA19</f>
        <v>30000000</v>
      </c>
      <c r="Y19" s="402">
        <v>30000000</v>
      </c>
      <c r="Z19" s="402">
        <v>0</v>
      </c>
      <c r="AA19" s="402">
        <v>0</v>
      </c>
      <c r="AB19" s="403"/>
      <c r="AC19" s="402">
        <v>0</v>
      </c>
      <c r="AD19" s="429" t="s">
        <v>578</v>
      </c>
      <c r="AE19" s="394" t="s">
        <v>579</v>
      </c>
      <c r="AF19" s="394" t="s">
        <v>541</v>
      </c>
      <c r="AG19" s="394" t="s">
        <v>581</v>
      </c>
      <c r="AH19" s="391" t="s">
        <v>542</v>
      </c>
    </row>
    <row r="20" spans="1:34" s="16" customFormat="1" ht="37.5" customHeight="1" x14ac:dyDescent="0.2">
      <c r="A20" s="29"/>
      <c r="B20" s="30"/>
      <c r="C20" s="30"/>
      <c r="D20" s="30"/>
      <c r="E20" s="27"/>
      <c r="F20" s="29"/>
      <c r="G20" s="27"/>
      <c r="H20" s="49"/>
      <c r="I20" s="636" t="s">
        <v>64</v>
      </c>
      <c r="J20" s="636"/>
      <c r="K20" s="636"/>
      <c r="L20" s="636"/>
      <c r="M20" s="636"/>
      <c r="N20" s="636"/>
      <c r="O20" s="636"/>
      <c r="P20" s="636"/>
      <c r="Q20" s="636"/>
      <c r="R20" s="636"/>
      <c r="S20" s="636"/>
      <c r="T20" s="636"/>
      <c r="U20" s="636"/>
      <c r="V20" s="636"/>
      <c r="W20" s="636"/>
      <c r="X20" s="636"/>
      <c r="Y20" s="636"/>
      <c r="Z20" s="636"/>
      <c r="AA20" s="636"/>
      <c r="AB20" s="636"/>
      <c r="AC20" s="404"/>
      <c r="AD20" s="630"/>
      <c r="AE20" s="631"/>
      <c r="AF20" s="631"/>
      <c r="AG20" s="631"/>
    </row>
    <row r="21" spans="1:34" ht="20.25" customHeight="1" x14ac:dyDescent="0.3">
      <c r="A21" s="18"/>
      <c r="B21" s="19"/>
      <c r="C21" s="19"/>
      <c r="D21" s="19"/>
      <c r="E21" s="19"/>
      <c r="F21" s="20"/>
      <c r="G21" s="19"/>
      <c r="H21" s="50"/>
      <c r="I21" s="636" t="s">
        <v>60</v>
      </c>
      <c r="J21" s="636"/>
      <c r="K21" s="636"/>
      <c r="L21" s="636"/>
      <c r="M21" s="636"/>
      <c r="N21" s="636"/>
      <c r="O21" s="636"/>
      <c r="P21" s="636"/>
      <c r="Q21" s="636"/>
      <c r="R21" s="636"/>
      <c r="S21" s="636"/>
      <c r="T21" s="636"/>
      <c r="U21" s="636"/>
      <c r="V21" s="636"/>
      <c r="W21" s="636"/>
      <c r="X21" s="636"/>
      <c r="Y21" s="636"/>
      <c r="Z21" s="636"/>
      <c r="AA21" s="636"/>
      <c r="AB21" s="636"/>
      <c r="AC21" s="636"/>
      <c r="AD21" s="630"/>
      <c r="AE21" s="631"/>
      <c r="AF21" s="631"/>
      <c r="AG21" s="631"/>
    </row>
    <row r="22" spans="1:34" ht="20.25" customHeight="1" x14ac:dyDescent="0.3">
      <c r="A22" s="18"/>
      <c r="B22" s="19"/>
      <c r="C22" s="19"/>
      <c r="D22" s="19"/>
      <c r="E22" s="19"/>
      <c r="F22" s="20"/>
      <c r="G22" s="19"/>
      <c r="H22" s="50"/>
      <c r="I22" s="636" t="s">
        <v>37</v>
      </c>
      <c r="J22" s="636"/>
      <c r="K22" s="636"/>
      <c r="L22" s="636"/>
      <c r="M22" s="636"/>
      <c r="N22" s="636"/>
      <c r="O22" s="636"/>
      <c r="P22" s="636"/>
      <c r="Q22" s="636"/>
      <c r="R22" s="636"/>
      <c r="S22" s="636"/>
      <c r="T22" s="636"/>
      <c r="U22" s="636"/>
      <c r="V22" s="636"/>
      <c r="W22" s="636"/>
      <c r="X22" s="636"/>
      <c r="Y22" s="636"/>
      <c r="Z22" s="636"/>
      <c r="AA22" s="636"/>
      <c r="AB22" s="636"/>
      <c r="AC22" s="636"/>
      <c r="AD22" s="630"/>
      <c r="AE22" s="631"/>
      <c r="AF22" s="631"/>
      <c r="AG22" s="631"/>
    </row>
    <row r="23" spans="1:34" ht="20.25" customHeight="1" x14ac:dyDescent="0.3">
      <c r="A23" s="18"/>
      <c r="B23" s="19"/>
      <c r="C23" s="19"/>
      <c r="D23" s="19"/>
      <c r="E23" s="19"/>
      <c r="F23" s="20"/>
      <c r="G23" s="19"/>
      <c r="H23" s="50"/>
      <c r="I23" s="637" t="s">
        <v>3</v>
      </c>
      <c r="J23" s="637"/>
      <c r="K23" s="637"/>
      <c r="L23" s="637"/>
      <c r="M23" s="637"/>
      <c r="N23" s="637"/>
      <c r="O23" s="637"/>
      <c r="P23" s="637"/>
      <c r="Q23" s="637"/>
      <c r="R23" s="637" t="s">
        <v>72</v>
      </c>
      <c r="S23" s="637"/>
      <c r="T23" s="637"/>
      <c r="U23" s="637"/>
      <c r="V23" s="637"/>
      <c r="W23" s="637"/>
      <c r="X23" s="638" t="s">
        <v>4</v>
      </c>
      <c r="Y23" s="638"/>
      <c r="Z23" s="638"/>
      <c r="AA23" s="638"/>
      <c r="AB23" s="638"/>
      <c r="AC23" s="639" t="s">
        <v>40</v>
      </c>
      <c r="AD23" s="630"/>
      <c r="AE23" s="631"/>
      <c r="AF23" s="631"/>
      <c r="AG23" s="631"/>
    </row>
    <row r="24" spans="1:34" ht="78.75" customHeight="1" x14ac:dyDescent="0.3">
      <c r="A24" s="18"/>
      <c r="B24" s="19"/>
      <c r="C24" s="19"/>
      <c r="D24" s="19"/>
      <c r="E24" s="19"/>
      <c r="F24" s="20"/>
      <c r="G24" s="19"/>
      <c r="H24" s="51"/>
      <c r="I24" s="395" t="s">
        <v>61</v>
      </c>
      <c r="J24" s="395" t="s">
        <v>12</v>
      </c>
      <c r="K24" s="395" t="s">
        <v>62</v>
      </c>
      <c r="L24" s="395" t="s">
        <v>24</v>
      </c>
      <c r="M24" s="395" t="s">
        <v>25</v>
      </c>
      <c r="N24" s="395" t="s">
        <v>26</v>
      </c>
      <c r="O24" s="395" t="s">
        <v>27</v>
      </c>
      <c r="P24" s="395" t="s">
        <v>28</v>
      </c>
      <c r="Q24" s="395" t="s">
        <v>63</v>
      </c>
      <c r="R24" s="395" t="s">
        <v>47</v>
      </c>
      <c r="S24" s="396" t="s">
        <v>14</v>
      </c>
      <c r="T24" s="396" t="s">
        <v>79</v>
      </c>
      <c r="U24" s="396" t="s">
        <v>15</v>
      </c>
      <c r="V24" s="396" t="s">
        <v>16</v>
      </c>
      <c r="W24" s="395" t="s">
        <v>48</v>
      </c>
      <c r="X24" s="396" t="s">
        <v>17</v>
      </c>
      <c r="Y24" s="396" t="s">
        <v>18</v>
      </c>
      <c r="Z24" s="396" t="s">
        <v>19</v>
      </c>
      <c r="AA24" s="396" t="s">
        <v>20</v>
      </c>
      <c r="AB24" s="405"/>
      <c r="AC24" s="639"/>
      <c r="AD24" s="630"/>
      <c r="AE24" s="631"/>
      <c r="AF24" s="631"/>
      <c r="AG24" s="631"/>
    </row>
    <row r="25" spans="1:34" ht="99.75" customHeight="1" x14ac:dyDescent="0.3">
      <c r="A25" s="18"/>
      <c r="B25" s="19"/>
      <c r="C25" s="19"/>
      <c r="D25" s="19"/>
      <c r="E25" s="19"/>
      <c r="F25" s="20"/>
      <c r="G25" s="19"/>
      <c r="H25" s="28"/>
      <c r="I25" s="406" t="s">
        <v>81</v>
      </c>
      <c r="J25" s="407" t="s">
        <v>82</v>
      </c>
      <c r="K25" s="407" t="s">
        <v>82</v>
      </c>
      <c r="L25" s="408">
        <v>0</v>
      </c>
      <c r="M25" s="408">
        <v>1</v>
      </c>
      <c r="N25" s="408">
        <v>2</v>
      </c>
      <c r="O25" s="408">
        <v>3</v>
      </c>
      <c r="P25" s="409">
        <v>6</v>
      </c>
      <c r="Q25" s="398" t="s">
        <v>22</v>
      </c>
      <c r="R25" s="410" t="s">
        <v>30</v>
      </c>
      <c r="S25" s="411">
        <v>6</v>
      </c>
      <c r="T25" s="412" t="s">
        <v>380</v>
      </c>
      <c r="U25" s="397" t="s">
        <v>102</v>
      </c>
      <c r="V25" s="399">
        <v>1</v>
      </c>
      <c r="W25" s="400" t="s">
        <v>73</v>
      </c>
      <c r="X25" s="413">
        <f>Y25+Z25+AA25</f>
        <v>210000000</v>
      </c>
      <c r="Y25" s="402">
        <v>210000000</v>
      </c>
      <c r="Z25" s="402">
        <v>0</v>
      </c>
      <c r="AA25" s="402">
        <v>0</v>
      </c>
      <c r="AB25" s="403"/>
      <c r="AC25" s="402">
        <v>0</v>
      </c>
      <c r="AD25" s="392" t="s">
        <v>582</v>
      </c>
      <c r="AE25" s="430" t="s">
        <v>584</v>
      </c>
      <c r="AF25" s="430" t="s">
        <v>491</v>
      </c>
      <c r="AG25" s="430" t="s">
        <v>585</v>
      </c>
      <c r="AH25" s="391" t="s">
        <v>583</v>
      </c>
    </row>
    <row r="26" spans="1:34" ht="35.25" customHeight="1" x14ac:dyDescent="0.3">
      <c r="A26" s="18"/>
      <c r="B26" s="19"/>
      <c r="C26" s="19"/>
      <c r="D26" s="19"/>
      <c r="E26" s="19"/>
      <c r="F26" s="20"/>
      <c r="G26" s="19"/>
      <c r="H26" s="28"/>
      <c r="I26" s="636" t="s">
        <v>64</v>
      </c>
      <c r="J26" s="636"/>
      <c r="K26" s="636"/>
      <c r="L26" s="636"/>
      <c r="M26" s="636"/>
      <c r="N26" s="636"/>
      <c r="O26" s="636"/>
      <c r="P26" s="636"/>
      <c r="Q26" s="636"/>
      <c r="R26" s="636"/>
      <c r="S26" s="636"/>
      <c r="T26" s="636"/>
      <c r="U26" s="636"/>
      <c r="V26" s="636"/>
      <c r="W26" s="636"/>
      <c r="X26" s="636"/>
      <c r="Y26" s="636"/>
      <c r="Z26" s="636"/>
      <c r="AA26" s="636"/>
      <c r="AB26" s="636"/>
      <c r="AC26" s="636"/>
      <c r="AD26" s="632"/>
      <c r="AE26" s="633"/>
      <c r="AF26" s="633"/>
      <c r="AG26" s="633"/>
    </row>
    <row r="27" spans="1:34" ht="29.25" customHeight="1" x14ac:dyDescent="0.3">
      <c r="A27" s="18"/>
      <c r="B27" s="19"/>
      <c r="C27" s="19"/>
      <c r="D27" s="19"/>
      <c r="E27" s="19"/>
      <c r="F27" s="20"/>
      <c r="G27" s="19"/>
      <c r="H27" s="28"/>
      <c r="I27" s="636" t="s">
        <v>65</v>
      </c>
      <c r="J27" s="636"/>
      <c r="K27" s="636"/>
      <c r="L27" s="636"/>
      <c r="M27" s="636"/>
      <c r="N27" s="636"/>
      <c r="O27" s="636"/>
      <c r="P27" s="636"/>
      <c r="Q27" s="636"/>
      <c r="R27" s="636"/>
      <c r="S27" s="636"/>
      <c r="T27" s="636"/>
      <c r="U27" s="636"/>
      <c r="V27" s="636"/>
      <c r="W27" s="636"/>
      <c r="X27" s="636"/>
      <c r="Y27" s="636"/>
      <c r="Z27" s="636"/>
      <c r="AA27" s="636"/>
      <c r="AB27" s="636"/>
      <c r="AC27" s="636"/>
      <c r="AD27" s="632"/>
      <c r="AE27" s="633"/>
      <c r="AF27" s="633"/>
      <c r="AG27" s="633"/>
    </row>
    <row r="28" spans="1:34" ht="20.25" customHeight="1" x14ac:dyDescent="0.3">
      <c r="A28" s="18"/>
      <c r="B28" s="19"/>
      <c r="C28" s="19"/>
      <c r="D28" s="19"/>
      <c r="E28" s="19"/>
      <c r="F28" s="20"/>
      <c r="G28" s="19"/>
      <c r="H28" s="28"/>
      <c r="I28" s="636" t="s">
        <v>66</v>
      </c>
      <c r="J28" s="636"/>
      <c r="K28" s="636"/>
      <c r="L28" s="636"/>
      <c r="M28" s="636"/>
      <c r="N28" s="636"/>
      <c r="O28" s="636"/>
      <c r="P28" s="636"/>
      <c r="Q28" s="636"/>
      <c r="R28" s="636"/>
      <c r="S28" s="636"/>
      <c r="T28" s="636"/>
      <c r="U28" s="636"/>
      <c r="V28" s="636"/>
      <c r="W28" s="636"/>
      <c r="X28" s="636"/>
      <c r="Y28" s="636"/>
      <c r="Z28" s="636"/>
      <c r="AA28" s="636"/>
      <c r="AB28" s="636"/>
      <c r="AC28" s="636"/>
      <c r="AD28" s="632"/>
      <c r="AE28" s="633"/>
      <c r="AF28" s="633"/>
      <c r="AG28" s="633"/>
    </row>
    <row r="29" spans="1:34" ht="20.25" customHeight="1" x14ac:dyDescent="0.3">
      <c r="A29" s="18"/>
      <c r="B29" s="19"/>
      <c r="C29" s="19"/>
      <c r="D29" s="19"/>
      <c r="E29" s="19"/>
      <c r="F29" s="20"/>
      <c r="G29" s="19"/>
      <c r="H29" s="28"/>
      <c r="I29" s="637" t="s">
        <v>3</v>
      </c>
      <c r="J29" s="637"/>
      <c r="K29" s="637"/>
      <c r="L29" s="637"/>
      <c r="M29" s="637"/>
      <c r="N29" s="637"/>
      <c r="O29" s="637"/>
      <c r="P29" s="637"/>
      <c r="Q29" s="637"/>
      <c r="R29" s="414"/>
      <c r="S29" s="637" t="s">
        <v>72</v>
      </c>
      <c r="T29" s="637"/>
      <c r="U29" s="637"/>
      <c r="V29" s="637"/>
      <c r="W29" s="637"/>
      <c r="X29" s="638" t="s">
        <v>4</v>
      </c>
      <c r="Y29" s="638"/>
      <c r="Z29" s="638"/>
      <c r="AA29" s="638"/>
      <c r="AB29" s="638"/>
      <c r="AC29" s="639" t="s">
        <v>40</v>
      </c>
      <c r="AD29" s="632"/>
      <c r="AE29" s="633"/>
      <c r="AF29" s="633"/>
      <c r="AG29" s="633"/>
    </row>
    <row r="30" spans="1:34" s="12" customFormat="1" ht="56.25" customHeight="1" x14ac:dyDescent="0.25">
      <c r="A30" s="22" t="s">
        <v>5</v>
      </c>
      <c r="B30" s="22" t="s">
        <v>6</v>
      </c>
      <c r="C30" s="22" t="s">
        <v>7</v>
      </c>
      <c r="D30" s="22" t="s">
        <v>8</v>
      </c>
      <c r="E30" s="22" t="s">
        <v>9</v>
      </c>
      <c r="F30" s="23" t="s">
        <v>5</v>
      </c>
      <c r="G30" s="24" t="s">
        <v>10</v>
      </c>
      <c r="H30" s="25"/>
      <c r="I30" s="395" t="s">
        <v>51</v>
      </c>
      <c r="J30" s="395" t="s">
        <v>12</v>
      </c>
      <c r="K30" s="395" t="s">
        <v>52</v>
      </c>
      <c r="L30" s="395" t="s">
        <v>24</v>
      </c>
      <c r="M30" s="395" t="s">
        <v>25</v>
      </c>
      <c r="N30" s="395" t="s">
        <v>26</v>
      </c>
      <c r="O30" s="395" t="s">
        <v>27</v>
      </c>
      <c r="P30" s="395" t="s">
        <v>28</v>
      </c>
      <c r="Q30" s="395" t="s">
        <v>29</v>
      </c>
      <c r="R30" s="395" t="s">
        <v>47</v>
      </c>
      <c r="S30" s="396" t="s">
        <v>14</v>
      </c>
      <c r="T30" s="396" t="s">
        <v>79</v>
      </c>
      <c r="U30" s="396" t="s">
        <v>15</v>
      </c>
      <c r="V30" s="396" t="s">
        <v>16</v>
      </c>
      <c r="W30" s="395" t="s">
        <v>48</v>
      </c>
      <c r="X30" s="396" t="s">
        <v>17</v>
      </c>
      <c r="Y30" s="396" t="s">
        <v>18</v>
      </c>
      <c r="Z30" s="396" t="s">
        <v>19</v>
      </c>
      <c r="AA30" s="396" t="s">
        <v>20</v>
      </c>
      <c r="AB30" s="396" t="s">
        <v>21</v>
      </c>
      <c r="AC30" s="639"/>
      <c r="AD30" s="632"/>
      <c r="AE30" s="633"/>
      <c r="AF30" s="633"/>
      <c r="AG30" s="633"/>
    </row>
    <row r="31" spans="1:34" s="15" customFormat="1" ht="225" customHeight="1" x14ac:dyDescent="0.25">
      <c r="A31" s="33">
        <v>28</v>
      </c>
      <c r="B31" s="34" t="s">
        <v>83</v>
      </c>
      <c r="C31" s="34" t="s">
        <v>84</v>
      </c>
      <c r="D31" s="35" t="s">
        <v>85</v>
      </c>
      <c r="E31" s="36" t="s">
        <v>86</v>
      </c>
      <c r="F31" s="33">
        <v>11</v>
      </c>
      <c r="G31" s="37" t="s">
        <v>87</v>
      </c>
      <c r="H31" s="27"/>
      <c r="I31" s="415" t="s">
        <v>88</v>
      </c>
      <c r="J31" s="407" t="s">
        <v>89</v>
      </c>
      <c r="K31" s="416" t="s">
        <v>90</v>
      </c>
      <c r="L31" s="417">
        <v>12000</v>
      </c>
      <c r="M31" s="408">
        <v>12000</v>
      </c>
      <c r="N31" s="408">
        <v>12000</v>
      </c>
      <c r="O31" s="408">
        <v>12000</v>
      </c>
      <c r="P31" s="409">
        <v>12000</v>
      </c>
      <c r="Q31" s="397" t="s">
        <v>22</v>
      </c>
      <c r="R31" s="397" t="s">
        <v>30</v>
      </c>
      <c r="S31" s="409">
        <v>7</v>
      </c>
      <c r="T31" s="416" t="s">
        <v>98</v>
      </c>
      <c r="U31" s="416" t="s">
        <v>103</v>
      </c>
      <c r="V31" s="399">
        <v>12000</v>
      </c>
      <c r="W31" s="416" t="s">
        <v>91</v>
      </c>
      <c r="X31" s="418">
        <f>Y31+Z31+AA31</f>
        <v>164500000</v>
      </c>
      <c r="Y31" s="419">
        <f>74500000+90000000</f>
        <v>164500000</v>
      </c>
      <c r="Z31" s="420">
        <v>0</v>
      </c>
      <c r="AA31" s="420">
        <v>0</v>
      </c>
      <c r="AB31" s="419"/>
      <c r="AC31" s="419">
        <v>47383335</v>
      </c>
      <c r="AD31" s="392" t="s">
        <v>586</v>
      </c>
      <c r="AE31" s="430" t="s">
        <v>587</v>
      </c>
      <c r="AF31" s="430" t="s">
        <v>589</v>
      </c>
      <c r="AG31" s="430" t="s">
        <v>590</v>
      </c>
      <c r="AH31" s="391" t="s">
        <v>494</v>
      </c>
    </row>
    <row r="32" spans="1:34" s="15" customFormat="1" ht="70.5" customHeight="1" x14ac:dyDescent="0.25">
      <c r="A32" s="29"/>
      <c r="B32" s="30"/>
      <c r="C32" s="30"/>
      <c r="D32" s="27"/>
      <c r="E32" s="27"/>
      <c r="F32" s="29"/>
      <c r="G32" s="27"/>
      <c r="H32" s="27"/>
      <c r="I32" s="415" t="s">
        <v>58</v>
      </c>
      <c r="J32" s="407" t="s">
        <v>59</v>
      </c>
      <c r="K32" s="416" t="s">
        <v>68</v>
      </c>
      <c r="L32" s="408">
        <v>0</v>
      </c>
      <c r="M32" s="408">
        <v>2</v>
      </c>
      <c r="N32" s="408">
        <v>6</v>
      </c>
      <c r="O32" s="408">
        <v>12</v>
      </c>
      <c r="P32" s="409">
        <f>SUM(L32:O32)</f>
        <v>20</v>
      </c>
      <c r="Q32" s="397" t="s">
        <v>22</v>
      </c>
      <c r="R32" s="397" t="s">
        <v>30</v>
      </c>
      <c r="S32" s="409">
        <v>8</v>
      </c>
      <c r="T32" s="416" t="s">
        <v>77</v>
      </c>
      <c r="U32" s="416" t="s">
        <v>68</v>
      </c>
      <c r="V32" s="399">
        <v>2</v>
      </c>
      <c r="W32" s="416" t="s">
        <v>78</v>
      </c>
      <c r="X32" s="421">
        <f>Y32+Z32+AA32</f>
        <v>0</v>
      </c>
      <c r="Y32" s="420">
        <v>0</v>
      </c>
      <c r="Z32" s="420">
        <v>0</v>
      </c>
      <c r="AA32" s="420">
        <v>0</v>
      </c>
      <c r="AB32" s="419"/>
      <c r="AC32" s="420">
        <v>0</v>
      </c>
      <c r="AD32" s="392" t="s">
        <v>591</v>
      </c>
      <c r="AE32" s="430" t="s">
        <v>543</v>
      </c>
      <c r="AF32" s="338" t="s">
        <v>523</v>
      </c>
      <c r="AG32" s="338" t="s">
        <v>495</v>
      </c>
      <c r="AH32" s="391" t="s">
        <v>526</v>
      </c>
    </row>
    <row r="33" spans="1:34" ht="32.25" customHeight="1" x14ac:dyDescent="0.3">
      <c r="A33" s="18"/>
      <c r="B33" s="19"/>
      <c r="C33" s="19"/>
      <c r="D33" s="19"/>
      <c r="E33" s="19"/>
      <c r="F33" s="20"/>
      <c r="G33" s="19"/>
      <c r="H33" s="19"/>
      <c r="I33" s="636" t="s">
        <v>38</v>
      </c>
      <c r="J33" s="636"/>
      <c r="K33" s="636"/>
      <c r="L33" s="636"/>
      <c r="M33" s="636"/>
      <c r="N33" s="636"/>
      <c r="O33" s="636"/>
      <c r="P33" s="636"/>
      <c r="Q33" s="636"/>
      <c r="R33" s="636"/>
      <c r="S33" s="636"/>
      <c r="T33" s="636"/>
      <c r="U33" s="636"/>
      <c r="V33" s="636"/>
      <c r="W33" s="636"/>
      <c r="X33" s="636"/>
      <c r="Y33" s="636"/>
      <c r="Z33" s="636"/>
      <c r="AA33" s="636"/>
      <c r="AB33" s="636"/>
      <c r="AC33" s="636"/>
      <c r="AD33" s="632"/>
      <c r="AE33" s="633"/>
      <c r="AF33" s="633"/>
      <c r="AG33" s="633"/>
    </row>
    <row r="34" spans="1:34" ht="28.5" customHeight="1" x14ac:dyDescent="0.3">
      <c r="A34" s="18"/>
      <c r="B34" s="19"/>
      <c r="C34" s="19"/>
      <c r="D34" s="19"/>
      <c r="E34" s="19"/>
      <c r="F34" s="20"/>
      <c r="G34" s="19"/>
      <c r="H34" s="19"/>
      <c r="I34" s="637" t="s">
        <v>3</v>
      </c>
      <c r="J34" s="637"/>
      <c r="K34" s="637"/>
      <c r="L34" s="637"/>
      <c r="M34" s="637"/>
      <c r="N34" s="637"/>
      <c r="O34" s="637"/>
      <c r="P34" s="637"/>
      <c r="Q34" s="637"/>
      <c r="R34" s="414"/>
      <c r="S34" s="637" t="s">
        <v>72</v>
      </c>
      <c r="T34" s="637"/>
      <c r="U34" s="637"/>
      <c r="V34" s="637"/>
      <c r="W34" s="637"/>
      <c r="X34" s="638" t="s">
        <v>4</v>
      </c>
      <c r="Y34" s="638"/>
      <c r="Z34" s="638"/>
      <c r="AA34" s="638"/>
      <c r="AB34" s="638"/>
      <c r="AC34" s="639" t="s">
        <v>40</v>
      </c>
      <c r="AD34" s="632"/>
      <c r="AE34" s="633"/>
      <c r="AF34" s="633"/>
      <c r="AG34" s="633"/>
    </row>
    <row r="35" spans="1:34" s="12" customFormat="1" ht="88.5" customHeight="1" x14ac:dyDescent="0.25">
      <c r="A35" s="22" t="s">
        <v>5</v>
      </c>
      <c r="B35" s="22" t="s">
        <v>6</v>
      </c>
      <c r="C35" s="22" t="s">
        <v>7</v>
      </c>
      <c r="D35" s="22" t="s">
        <v>8</v>
      </c>
      <c r="E35" s="22" t="s">
        <v>9</v>
      </c>
      <c r="F35" s="23" t="s">
        <v>5</v>
      </c>
      <c r="G35" s="24" t="s">
        <v>10</v>
      </c>
      <c r="H35" s="25"/>
      <c r="I35" s="395" t="s">
        <v>51</v>
      </c>
      <c r="J35" s="395" t="s">
        <v>12</v>
      </c>
      <c r="K35" s="395" t="s">
        <v>52</v>
      </c>
      <c r="L35" s="395" t="s">
        <v>24</v>
      </c>
      <c r="M35" s="395" t="s">
        <v>25</v>
      </c>
      <c r="N35" s="395" t="s">
        <v>26</v>
      </c>
      <c r="O35" s="395" t="s">
        <v>27</v>
      </c>
      <c r="P35" s="395" t="s">
        <v>28</v>
      </c>
      <c r="Q35" s="395" t="s">
        <v>29</v>
      </c>
      <c r="R35" s="395" t="s">
        <v>47</v>
      </c>
      <c r="S35" s="396" t="s">
        <v>14</v>
      </c>
      <c r="T35" s="396" t="s">
        <v>79</v>
      </c>
      <c r="U35" s="396" t="s">
        <v>15</v>
      </c>
      <c r="V35" s="396" t="s">
        <v>16</v>
      </c>
      <c r="W35" s="395" t="s">
        <v>48</v>
      </c>
      <c r="X35" s="396" t="s">
        <v>17</v>
      </c>
      <c r="Y35" s="396" t="s">
        <v>18</v>
      </c>
      <c r="Z35" s="396" t="s">
        <v>19</v>
      </c>
      <c r="AA35" s="396" t="s">
        <v>20</v>
      </c>
      <c r="AB35" s="396" t="s">
        <v>21</v>
      </c>
      <c r="AC35" s="639"/>
      <c r="AD35" s="632"/>
      <c r="AE35" s="633"/>
      <c r="AF35" s="633"/>
      <c r="AG35" s="633"/>
    </row>
    <row r="36" spans="1:34" s="15" customFormat="1" ht="81.75" customHeight="1" x14ac:dyDescent="0.25">
      <c r="A36" s="29"/>
      <c r="B36" s="30"/>
      <c r="C36" s="30"/>
      <c r="D36" s="27"/>
      <c r="E36" s="27"/>
      <c r="F36" s="29"/>
      <c r="G36" s="27"/>
      <c r="H36" s="27"/>
      <c r="I36" s="634" t="s">
        <v>33</v>
      </c>
      <c r="J36" s="647" t="s">
        <v>57</v>
      </c>
      <c r="K36" s="647" t="s">
        <v>69</v>
      </c>
      <c r="L36" s="648">
        <v>180</v>
      </c>
      <c r="M36" s="649">
        <v>200</v>
      </c>
      <c r="N36" s="649">
        <v>220</v>
      </c>
      <c r="O36" s="649">
        <v>250</v>
      </c>
      <c r="P36" s="654">
        <f>+O36</f>
        <v>250</v>
      </c>
      <c r="Q36" s="655" t="s">
        <v>22</v>
      </c>
      <c r="R36" s="647" t="s">
        <v>30</v>
      </c>
      <c r="S36" s="654">
        <v>9</v>
      </c>
      <c r="T36" s="640" t="s">
        <v>367</v>
      </c>
      <c r="U36" s="407" t="s">
        <v>362</v>
      </c>
      <c r="V36" s="399">
        <f>M36</f>
        <v>200</v>
      </c>
      <c r="W36" s="656" t="s">
        <v>75</v>
      </c>
      <c r="X36" s="642">
        <f>Y36+Z36+AA36</f>
        <v>2886983533</v>
      </c>
      <c r="Y36" s="652">
        <f>290000000-10000000</f>
        <v>280000000</v>
      </c>
      <c r="Z36" s="652">
        <f>2672603475-65619942</f>
        <v>2606983533</v>
      </c>
      <c r="AA36" s="646">
        <v>0</v>
      </c>
      <c r="AB36" s="402"/>
      <c r="AC36" s="646">
        <v>0</v>
      </c>
      <c r="AD36" s="431" t="s">
        <v>592</v>
      </c>
      <c r="AE36" s="430" t="s">
        <v>497</v>
      </c>
      <c r="AF36" s="644" t="s">
        <v>496</v>
      </c>
      <c r="AG36" s="645" t="s">
        <v>544</v>
      </c>
      <c r="AH36" s="659" t="s">
        <v>498</v>
      </c>
    </row>
    <row r="37" spans="1:34" s="15" customFormat="1" ht="162.75" customHeight="1" x14ac:dyDescent="0.25">
      <c r="A37" s="29"/>
      <c r="B37" s="30"/>
      <c r="C37" s="30"/>
      <c r="D37" s="27"/>
      <c r="E37" s="27"/>
      <c r="F37" s="29"/>
      <c r="G37" s="27"/>
      <c r="H37" s="27"/>
      <c r="I37" s="634"/>
      <c r="J37" s="647"/>
      <c r="K37" s="647"/>
      <c r="L37" s="648"/>
      <c r="M37" s="649"/>
      <c r="N37" s="649"/>
      <c r="O37" s="649"/>
      <c r="P37" s="654"/>
      <c r="Q37" s="655"/>
      <c r="R37" s="647"/>
      <c r="S37" s="654"/>
      <c r="T37" s="641"/>
      <c r="U37" s="416" t="s">
        <v>99</v>
      </c>
      <c r="V37" s="399">
        <v>200</v>
      </c>
      <c r="W37" s="656"/>
      <c r="X37" s="642"/>
      <c r="Y37" s="653"/>
      <c r="Z37" s="653"/>
      <c r="AA37" s="646"/>
      <c r="AB37" s="402"/>
      <c r="AC37" s="646"/>
      <c r="AD37" s="431" t="s">
        <v>593</v>
      </c>
      <c r="AE37" s="338" t="s">
        <v>499</v>
      </c>
      <c r="AF37" s="644"/>
      <c r="AG37" s="645"/>
      <c r="AH37" s="659"/>
    </row>
    <row r="38" spans="1:34" s="15" customFormat="1" ht="32.25" customHeight="1" x14ac:dyDescent="0.25">
      <c r="A38" s="29"/>
      <c r="B38" s="30"/>
      <c r="C38" s="30"/>
      <c r="D38" s="27"/>
      <c r="E38" s="27"/>
      <c r="F38" s="29"/>
      <c r="G38" s="27"/>
      <c r="H38" s="27"/>
      <c r="I38" s="636" t="s">
        <v>67</v>
      </c>
      <c r="J38" s="636"/>
      <c r="K38" s="636"/>
      <c r="L38" s="636"/>
      <c r="M38" s="636"/>
      <c r="N38" s="636"/>
      <c r="O38" s="636"/>
      <c r="P38" s="636"/>
      <c r="Q38" s="636"/>
      <c r="R38" s="636"/>
      <c r="S38" s="636"/>
      <c r="T38" s="636"/>
      <c r="U38" s="636"/>
      <c r="V38" s="636"/>
      <c r="W38" s="636"/>
      <c r="X38" s="636"/>
      <c r="Y38" s="636"/>
      <c r="Z38" s="636"/>
      <c r="AA38" s="636"/>
      <c r="AB38" s="636"/>
      <c r="AC38" s="636"/>
      <c r="AD38" s="660"/>
      <c r="AE38" s="661"/>
      <c r="AF38" s="661"/>
      <c r="AG38" s="661"/>
    </row>
    <row r="39" spans="1:34" ht="32.25" customHeight="1" x14ac:dyDescent="0.3">
      <c r="A39" s="18"/>
      <c r="B39" s="19"/>
      <c r="C39" s="19"/>
      <c r="D39" s="19"/>
      <c r="E39" s="19"/>
      <c r="F39" s="20"/>
      <c r="G39" s="19"/>
      <c r="H39" s="19"/>
      <c r="I39" s="636" t="s">
        <v>46</v>
      </c>
      <c r="J39" s="636"/>
      <c r="K39" s="636"/>
      <c r="L39" s="636"/>
      <c r="M39" s="636"/>
      <c r="N39" s="636"/>
      <c r="O39" s="636"/>
      <c r="P39" s="636"/>
      <c r="Q39" s="636"/>
      <c r="R39" s="636"/>
      <c r="S39" s="636"/>
      <c r="T39" s="636"/>
      <c r="U39" s="636"/>
      <c r="V39" s="636"/>
      <c r="W39" s="636"/>
      <c r="X39" s="636"/>
      <c r="Y39" s="636"/>
      <c r="Z39" s="636"/>
      <c r="AA39" s="636"/>
      <c r="AB39" s="636"/>
      <c r="AC39" s="636"/>
      <c r="AD39" s="660"/>
      <c r="AE39" s="661"/>
      <c r="AF39" s="661"/>
      <c r="AG39" s="661"/>
    </row>
    <row r="40" spans="1:34" ht="33" customHeight="1" x14ac:dyDescent="0.3">
      <c r="A40" s="18"/>
      <c r="B40" s="19"/>
      <c r="C40" s="19"/>
      <c r="D40" s="19"/>
      <c r="E40" s="19"/>
      <c r="F40" s="20"/>
      <c r="G40" s="19"/>
      <c r="H40" s="19"/>
      <c r="I40" s="636" t="s">
        <v>39</v>
      </c>
      <c r="J40" s="636"/>
      <c r="K40" s="636"/>
      <c r="L40" s="636"/>
      <c r="M40" s="636"/>
      <c r="N40" s="636"/>
      <c r="O40" s="636"/>
      <c r="P40" s="636"/>
      <c r="Q40" s="636"/>
      <c r="R40" s="636"/>
      <c r="S40" s="636"/>
      <c r="T40" s="636"/>
      <c r="U40" s="636"/>
      <c r="V40" s="636"/>
      <c r="W40" s="636"/>
      <c r="X40" s="636"/>
      <c r="Y40" s="636"/>
      <c r="Z40" s="636"/>
      <c r="AA40" s="636"/>
      <c r="AB40" s="636"/>
      <c r="AC40" s="636"/>
      <c r="AD40" s="660"/>
      <c r="AE40" s="661"/>
      <c r="AF40" s="661"/>
      <c r="AG40" s="661"/>
    </row>
    <row r="41" spans="1:34" ht="20.25" customHeight="1" x14ac:dyDescent="0.3">
      <c r="A41" s="18"/>
      <c r="B41" s="19"/>
      <c r="C41" s="19"/>
      <c r="D41" s="19"/>
      <c r="E41" s="19"/>
      <c r="F41" s="20"/>
      <c r="G41" s="19"/>
      <c r="H41" s="19"/>
      <c r="I41" s="637" t="s">
        <v>3</v>
      </c>
      <c r="J41" s="637"/>
      <c r="K41" s="637"/>
      <c r="L41" s="637"/>
      <c r="M41" s="637"/>
      <c r="N41" s="637"/>
      <c r="O41" s="637"/>
      <c r="P41" s="637"/>
      <c r="Q41" s="637"/>
      <c r="R41" s="414"/>
      <c r="S41" s="637" t="s">
        <v>72</v>
      </c>
      <c r="T41" s="637"/>
      <c r="U41" s="637"/>
      <c r="V41" s="637"/>
      <c r="W41" s="637"/>
      <c r="X41" s="638" t="s">
        <v>4</v>
      </c>
      <c r="Y41" s="638"/>
      <c r="Z41" s="638"/>
      <c r="AA41" s="638"/>
      <c r="AB41" s="638"/>
      <c r="AC41" s="639" t="s">
        <v>40</v>
      </c>
      <c r="AD41" s="660"/>
      <c r="AE41" s="661"/>
      <c r="AF41" s="661"/>
      <c r="AG41" s="661"/>
    </row>
    <row r="42" spans="1:34" s="12" customFormat="1" ht="66.75" customHeight="1" x14ac:dyDescent="0.25">
      <c r="A42" s="22" t="s">
        <v>5</v>
      </c>
      <c r="B42" s="22" t="s">
        <v>6</v>
      </c>
      <c r="C42" s="22" t="s">
        <v>7</v>
      </c>
      <c r="D42" s="22" t="s">
        <v>8</v>
      </c>
      <c r="E42" s="22" t="s">
        <v>9</v>
      </c>
      <c r="F42" s="23" t="s">
        <v>5</v>
      </c>
      <c r="G42" s="24" t="s">
        <v>10</v>
      </c>
      <c r="H42" s="25"/>
      <c r="I42" s="395" t="s">
        <v>51</v>
      </c>
      <c r="J42" s="395" t="s">
        <v>12</v>
      </c>
      <c r="K42" s="395" t="s">
        <v>52</v>
      </c>
      <c r="L42" s="395" t="s">
        <v>24</v>
      </c>
      <c r="M42" s="395" t="s">
        <v>25</v>
      </c>
      <c r="N42" s="395" t="s">
        <v>26</v>
      </c>
      <c r="O42" s="395" t="s">
        <v>27</v>
      </c>
      <c r="P42" s="395" t="s">
        <v>28</v>
      </c>
      <c r="Q42" s="395" t="s">
        <v>29</v>
      </c>
      <c r="R42" s="395" t="s">
        <v>47</v>
      </c>
      <c r="S42" s="396" t="s">
        <v>14</v>
      </c>
      <c r="T42" s="396" t="s">
        <v>79</v>
      </c>
      <c r="U42" s="396" t="s">
        <v>15</v>
      </c>
      <c r="V42" s="396" t="s">
        <v>16</v>
      </c>
      <c r="W42" s="395" t="s">
        <v>48</v>
      </c>
      <c r="X42" s="396" t="s">
        <v>17</v>
      </c>
      <c r="Y42" s="396" t="s">
        <v>18</v>
      </c>
      <c r="Z42" s="396" t="s">
        <v>19</v>
      </c>
      <c r="AA42" s="396" t="s">
        <v>20</v>
      </c>
      <c r="AB42" s="396" t="s">
        <v>21</v>
      </c>
      <c r="AC42" s="639"/>
      <c r="AD42" s="660"/>
      <c r="AE42" s="661"/>
      <c r="AF42" s="661"/>
      <c r="AG42" s="661"/>
    </row>
    <row r="43" spans="1:34" s="14" customFormat="1" ht="78" customHeight="1" x14ac:dyDescent="0.3">
      <c r="A43" s="26"/>
      <c r="B43" s="21"/>
      <c r="C43" s="21"/>
      <c r="D43" s="21"/>
      <c r="E43" s="21"/>
      <c r="F43" s="26"/>
      <c r="G43" s="21"/>
      <c r="H43" s="21"/>
      <c r="I43" s="634" t="s">
        <v>54</v>
      </c>
      <c r="J43" s="422" t="s">
        <v>45</v>
      </c>
      <c r="K43" s="397" t="s">
        <v>70</v>
      </c>
      <c r="L43" s="408">
        <v>5</v>
      </c>
      <c r="M43" s="408">
        <v>10</v>
      </c>
      <c r="N43" s="408">
        <v>1</v>
      </c>
      <c r="O43" s="408">
        <v>0</v>
      </c>
      <c r="P43" s="409">
        <f>SUM(L43:O43)</f>
        <v>16</v>
      </c>
      <c r="Q43" s="397" t="s">
        <v>22</v>
      </c>
      <c r="R43" s="423" t="s">
        <v>30</v>
      </c>
      <c r="S43" s="409">
        <v>10</v>
      </c>
      <c r="T43" s="423" t="s">
        <v>104</v>
      </c>
      <c r="U43" s="423" t="s">
        <v>105</v>
      </c>
      <c r="V43" s="424">
        <v>10</v>
      </c>
      <c r="W43" s="425" t="s">
        <v>76</v>
      </c>
      <c r="X43" s="421">
        <f>Y43+Z43+AA43</f>
        <v>0</v>
      </c>
      <c r="Y43" s="420">
        <v>0</v>
      </c>
      <c r="Z43" s="420">
        <v>0</v>
      </c>
      <c r="AA43" s="420">
        <v>0</v>
      </c>
      <c r="AB43" s="402"/>
      <c r="AC43" s="420">
        <v>0</v>
      </c>
      <c r="AD43" s="392" t="s">
        <v>594</v>
      </c>
      <c r="AE43" s="430" t="s">
        <v>536</v>
      </c>
      <c r="AF43" s="430" t="s">
        <v>522</v>
      </c>
      <c r="AG43" s="662" t="s">
        <v>545</v>
      </c>
      <c r="AH43" s="432" t="s">
        <v>527</v>
      </c>
    </row>
    <row r="44" spans="1:34" s="14" customFormat="1" ht="108" customHeight="1" x14ac:dyDescent="0.3">
      <c r="A44" s="26"/>
      <c r="B44" s="21"/>
      <c r="C44" s="21"/>
      <c r="D44" s="21"/>
      <c r="E44" s="21"/>
      <c r="F44" s="26"/>
      <c r="G44" s="21"/>
      <c r="H44" s="21"/>
      <c r="I44" s="634"/>
      <c r="J44" s="397" t="s">
        <v>55</v>
      </c>
      <c r="K44" s="397" t="s">
        <v>56</v>
      </c>
      <c r="L44" s="408">
        <v>0</v>
      </c>
      <c r="M44" s="408">
        <v>2</v>
      </c>
      <c r="N44" s="408">
        <v>2</v>
      </c>
      <c r="O44" s="408">
        <v>2</v>
      </c>
      <c r="P44" s="409">
        <f>SUM(L44:O44)</f>
        <v>6</v>
      </c>
      <c r="Q44" s="397" t="s">
        <v>22</v>
      </c>
      <c r="R44" s="423" t="s">
        <v>30</v>
      </c>
      <c r="S44" s="409">
        <v>11</v>
      </c>
      <c r="T44" s="423" t="s">
        <v>106</v>
      </c>
      <c r="U44" s="423" t="s">
        <v>105</v>
      </c>
      <c r="V44" s="424">
        <v>2</v>
      </c>
      <c r="W44" s="425" t="s">
        <v>76</v>
      </c>
      <c r="X44" s="421">
        <f>Y44+Z44+AA44</f>
        <v>0</v>
      </c>
      <c r="Y44" s="420">
        <v>0</v>
      </c>
      <c r="Z44" s="420">
        <v>0</v>
      </c>
      <c r="AA44" s="420">
        <v>0</v>
      </c>
      <c r="AB44" s="402"/>
      <c r="AC44" s="420">
        <v>0</v>
      </c>
      <c r="AD44" s="392" t="s">
        <v>595</v>
      </c>
      <c r="AE44" s="430" t="s">
        <v>537</v>
      </c>
      <c r="AF44" s="430" t="s">
        <v>528</v>
      </c>
      <c r="AG44" s="663"/>
      <c r="AH44" s="432" t="s">
        <v>527</v>
      </c>
    </row>
    <row r="45" spans="1:34" ht="36.75" customHeight="1" x14ac:dyDescent="0.25">
      <c r="I45" s="635" t="s">
        <v>53</v>
      </c>
      <c r="J45" s="635"/>
      <c r="K45" s="635"/>
      <c r="L45" s="635"/>
      <c r="M45" s="635"/>
      <c r="N45" s="635"/>
      <c r="O45" s="635"/>
      <c r="P45" s="635"/>
      <c r="Q45" s="635"/>
      <c r="R45" s="635"/>
      <c r="S45" s="635"/>
      <c r="T45" s="635"/>
      <c r="U45" s="635"/>
      <c r="V45" s="635"/>
      <c r="W45" s="635"/>
      <c r="X45" s="426">
        <f>Y45+Z45+AA45</f>
        <v>3499185124</v>
      </c>
      <c r="Y45" s="426">
        <f>SUBTOTAL(9,Y11:Y44)</f>
        <v>892201591</v>
      </c>
      <c r="Z45" s="426">
        <f>SUBTOTAL(9,Z1:Z44)</f>
        <v>2606983533</v>
      </c>
      <c r="AA45" s="427">
        <f>SUBTOTAL(9,AA11:AA44)</f>
        <v>0</v>
      </c>
      <c r="AB45" s="426">
        <f>SUBTOTAL(9,AB11:AB43)</f>
        <v>0</v>
      </c>
      <c r="AC45" s="426">
        <f>SUBTOTAL(9,AC11:AC44)</f>
        <v>47383335</v>
      </c>
    </row>
    <row r="46" spans="1:34" ht="70.5" customHeight="1" x14ac:dyDescent="0.2">
      <c r="I46" s="629" t="s">
        <v>507</v>
      </c>
      <c r="J46" s="629"/>
      <c r="K46" s="629"/>
      <c r="L46" s="629"/>
      <c r="M46" s="629"/>
      <c r="N46" s="629"/>
      <c r="O46" s="629"/>
      <c r="P46" s="629"/>
      <c r="Q46" s="629"/>
      <c r="R46" s="629"/>
      <c r="S46" s="629"/>
      <c r="T46" s="629"/>
      <c r="U46" s="629"/>
      <c r="V46" s="629"/>
      <c r="W46" s="629"/>
      <c r="X46" s="629"/>
      <c r="Y46" s="629"/>
      <c r="Z46" s="629"/>
      <c r="AA46" s="629"/>
      <c r="AB46" s="629"/>
      <c r="AC46" s="629"/>
    </row>
    <row r="48" spans="1:34" x14ac:dyDescent="0.2">
      <c r="I48" s="344" t="s">
        <v>415</v>
      </c>
    </row>
    <row r="49" spans="9:25" s="9" customFormat="1" ht="18" x14ac:dyDescent="0.25">
      <c r="I49" s="295" t="s">
        <v>418</v>
      </c>
      <c r="X49" s="38"/>
      <c r="Y49" s="38"/>
    </row>
    <row r="52" spans="9:25" s="9" customFormat="1" x14ac:dyDescent="0.2"/>
  </sheetData>
  <dataConsolidate/>
  <mergeCells count="78">
    <mergeCell ref="AH36:AH37"/>
    <mergeCell ref="AD38:AG42"/>
    <mergeCell ref="AG43:AG44"/>
    <mergeCell ref="I12:AC12"/>
    <mergeCell ref="U2:AC2"/>
    <mergeCell ref="U3:AC3"/>
    <mergeCell ref="U4:AC4"/>
    <mergeCell ref="I6:AB6"/>
    <mergeCell ref="I7:AC7"/>
    <mergeCell ref="I13:Q13"/>
    <mergeCell ref="R13:W13"/>
    <mergeCell ref="X13:AB13"/>
    <mergeCell ref="AC13:AC14"/>
    <mergeCell ref="I15:I19"/>
    <mergeCell ref="J15:J19"/>
    <mergeCell ref="K15:K19"/>
    <mergeCell ref="L15:L19"/>
    <mergeCell ref="M15:M19"/>
    <mergeCell ref="N15:N19"/>
    <mergeCell ref="I26:AC26"/>
    <mergeCell ref="O15:O19"/>
    <mergeCell ref="P15:P19"/>
    <mergeCell ref="Q15:Q19"/>
    <mergeCell ref="R15:R19"/>
    <mergeCell ref="I20:AB20"/>
    <mergeCell ref="I21:AC21"/>
    <mergeCell ref="I22:AC22"/>
    <mergeCell ref="I23:Q23"/>
    <mergeCell ref="R23:W23"/>
    <mergeCell ref="X23:AB23"/>
    <mergeCell ref="AC23:AC24"/>
    <mergeCell ref="I28:AC28"/>
    <mergeCell ref="I29:Q29"/>
    <mergeCell ref="S29:W29"/>
    <mergeCell ref="X29:AB29"/>
    <mergeCell ref="AC29:AC30"/>
    <mergeCell ref="Y36:Y37"/>
    <mergeCell ref="Z36:Z37"/>
    <mergeCell ref="AA36:AA37"/>
    <mergeCell ref="N36:N37"/>
    <mergeCell ref="O36:O37"/>
    <mergeCell ref="P36:P37"/>
    <mergeCell ref="Q36:Q37"/>
    <mergeCell ref="R36:R37"/>
    <mergeCell ref="S36:S37"/>
    <mergeCell ref="W36:W37"/>
    <mergeCell ref="AE12:AG12"/>
    <mergeCell ref="AF36:AF37"/>
    <mergeCell ref="AG36:AG37"/>
    <mergeCell ref="AC36:AC37"/>
    <mergeCell ref="I33:AC33"/>
    <mergeCell ref="I34:Q34"/>
    <mergeCell ref="S34:W34"/>
    <mergeCell ref="X34:AB34"/>
    <mergeCell ref="AC34:AC35"/>
    <mergeCell ref="I36:I37"/>
    <mergeCell ref="J36:J37"/>
    <mergeCell ref="K36:K37"/>
    <mergeCell ref="L36:L37"/>
    <mergeCell ref="M36:M37"/>
    <mergeCell ref="AE13:AF13"/>
    <mergeCell ref="I27:AC27"/>
    <mergeCell ref="AG13:AG14"/>
    <mergeCell ref="I46:AC46"/>
    <mergeCell ref="AD20:AG24"/>
    <mergeCell ref="AD26:AG30"/>
    <mergeCell ref="AD33:AG35"/>
    <mergeCell ref="I43:I44"/>
    <mergeCell ref="I45:W45"/>
    <mergeCell ref="I38:AC38"/>
    <mergeCell ref="I39:AC39"/>
    <mergeCell ref="I40:AC40"/>
    <mergeCell ref="I41:Q41"/>
    <mergeCell ref="S41:W41"/>
    <mergeCell ref="X41:AB41"/>
    <mergeCell ref="AC41:AC42"/>
    <mergeCell ref="T36:T37"/>
    <mergeCell ref="X36:X37"/>
  </mergeCells>
  <conditionalFormatting sqref="L32:O32">
    <cfRule type="expression" dxfId="112" priority="39" stopIfTrue="1">
      <formula>+IF((#REF!+#REF!+#REF!+#REF!+#REF!)&lt;&gt;$L32,1,0)</formula>
    </cfRule>
  </conditionalFormatting>
  <conditionalFormatting sqref="J11:K11 J15:K18 J32:K32 W32 AB32">
    <cfRule type="expression" dxfId="111" priority="38" stopIfTrue="1">
      <formula>+IF((#REF!+#REF!+#REF!+#REF!+#REF!)&lt;&gt;$M11,1,0)</formula>
    </cfRule>
  </conditionalFormatting>
  <conditionalFormatting sqref="L43:O44">
    <cfRule type="expression" dxfId="110" priority="37" stopIfTrue="1">
      <formula>+IF((#REF!+#REF!+#REF!+#REF!+#REF!)&lt;&gt;$L43,1,0)</formula>
    </cfRule>
  </conditionalFormatting>
  <conditionalFormatting sqref="L15:O18">
    <cfRule type="expression" dxfId="109" priority="36" stopIfTrue="1">
      <formula>+IF((#REF!+#REF!+#REF!+#REF!+#REF!)&lt;&gt;$L15,1,0)</formula>
    </cfRule>
  </conditionalFormatting>
  <conditionalFormatting sqref="J11">
    <cfRule type="expression" dxfId="108" priority="35" stopIfTrue="1">
      <formula>+IF((#REF!+#REF!+#REF!+#REF!+#REF!)&lt;&gt;$M11,1,0)</formula>
    </cfRule>
  </conditionalFormatting>
  <conditionalFormatting sqref="K11">
    <cfRule type="expression" dxfId="107" priority="34" stopIfTrue="1">
      <formula>+IF((#REF!+#REF!+#REF!+#REF!+#REF!)&lt;&gt;$M11,1,0)</formula>
    </cfRule>
  </conditionalFormatting>
  <conditionalFormatting sqref="L32:O32">
    <cfRule type="expression" dxfId="106" priority="33" stopIfTrue="1">
      <formula>+IF((#REF!+#REF!+#REF!+#REF!+#REF!)&lt;&gt;$L32,1,0)</formula>
    </cfRule>
  </conditionalFormatting>
  <conditionalFormatting sqref="J32">
    <cfRule type="expression" dxfId="105" priority="32" stopIfTrue="1">
      <formula>+IF((#REF!+#REF!+#REF!+#REF!+#REF!)&lt;&gt;$M32,1,0)</formula>
    </cfRule>
  </conditionalFormatting>
  <conditionalFormatting sqref="K32 W32 AB32">
    <cfRule type="expression" dxfId="104" priority="31" stopIfTrue="1">
      <formula>+IF((#REF!+#REF!+#REF!+#REF!+#REF!)&lt;&gt;$M32,1,0)</formula>
    </cfRule>
  </conditionalFormatting>
  <conditionalFormatting sqref="L43:O44">
    <cfRule type="expression" dxfId="103" priority="30" stopIfTrue="1">
      <formula>+IF((#REF!+#REF!+#REF!+#REF!+#REF!)&lt;&gt;$L43,1,0)</formula>
    </cfRule>
  </conditionalFormatting>
  <conditionalFormatting sqref="L24:O24">
    <cfRule type="expression" dxfId="102" priority="29" stopIfTrue="1">
      <formula>+IF((#REF!+#REF!+#REF!+#REF!+#REF!)&lt;&gt;$L24,1,0)</formula>
    </cfRule>
  </conditionalFormatting>
  <conditionalFormatting sqref="J24:K24">
    <cfRule type="expression" dxfId="101" priority="28" stopIfTrue="1">
      <formula>+IF((#REF!+#REF!+#REF!+#REF!+#REF!)&lt;&gt;$M24,1,0)</formula>
    </cfRule>
  </conditionalFormatting>
  <conditionalFormatting sqref="L24:O24">
    <cfRule type="expression" dxfId="100" priority="27" stopIfTrue="1">
      <formula>+IF((#REF!+#REF!+#REF!+#REF!+#REF!)&lt;&gt;$L24,1,0)</formula>
    </cfRule>
  </conditionalFormatting>
  <conditionalFormatting sqref="J24">
    <cfRule type="expression" dxfId="99" priority="26" stopIfTrue="1">
      <formula>+IF((#REF!+#REF!+#REF!+#REF!+#REF!)&lt;&gt;$M24,1,0)</formula>
    </cfRule>
  </conditionalFormatting>
  <conditionalFormatting sqref="K24">
    <cfRule type="expression" dxfId="98" priority="25" stopIfTrue="1">
      <formula>+IF((#REF!+#REF!+#REF!+#REF!+#REF!)&lt;&gt;$M24,1,0)</formula>
    </cfRule>
  </conditionalFormatting>
  <conditionalFormatting sqref="U36">
    <cfRule type="expression" dxfId="97" priority="22" stopIfTrue="1">
      <formula>+IF((#REF!+#REF!+#REF!+#REF!+#REF!)&lt;&gt;$M36,1,0)</formula>
    </cfRule>
  </conditionalFormatting>
  <conditionalFormatting sqref="V36:W36">
    <cfRule type="expression" dxfId="96" priority="24" stopIfTrue="1">
      <formula>+IF((#REF!+#REF!+#REF!+#REF!+#REF!)&lt;&gt;$L36,1,0)</formula>
    </cfRule>
  </conditionalFormatting>
  <conditionalFormatting sqref="V36:W36">
    <cfRule type="expression" dxfId="95" priority="23" stopIfTrue="1">
      <formula>+IF((#REF!+#REF!+#REF!+#REF!+#REF!)&lt;&gt;$L36,1,0)</formula>
    </cfRule>
  </conditionalFormatting>
  <conditionalFormatting sqref="U36">
    <cfRule type="expression" dxfId="94" priority="21" stopIfTrue="1">
      <formula>+IF((#REF!+#REF!+#REF!+#REF!+#REF!)&lt;&gt;$M36,1,0)</formula>
    </cfRule>
  </conditionalFormatting>
  <conditionalFormatting sqref="T32">
    <cfRule type="expression" dxfId="93" priority="20" stopIfTrue="1">
      <formula>+IF((#REF!+#REF!+#REF!+#REF!+#REF!)&lt;&gt;$M32,1,0)</formula>
    </cfRule>
  </conditionalFormatting>
  <conditionalFormatting sqref="T32">
    <cfRule type="expression" dxfId="92" priority="19" stopIfTrue="1">
      <formula>+IF((#REF!+#REF!+#REF!+#REF!+#REF!)&lt;&gt;$M32,1,0)</formula>
    </cfRule>
  </conditionalFormatting>
  <conditionalFormatting sqref="U32">
    <cfRule type="expression" dxfId="91" priority="18" stopIfTrue="1">
      <formula>+IF((#REF!+#REF!+#REF!+#REF!+#REF!)&lt;&gt;$M32,1,0)</formula>
    </cfRule>
  </conditionalFormatting>
  <conditionalFormatting sqref="U32">
    <cfRule type="expression" dxfId="90" priority="17" stopIfTrue="1">
      <formula>+IF((#REF!+#REF!+#REF!+#REF!+#REF!)&lt;&gt;$M32,1,0)</formula>
    </cfRule>
  </conditionalFormatting>
  <conditionalFormatting sqref="L31:O31">
    <cfRule type="expression" dxfId="89" priority="16" stopIfTrue="1">
      <formula>+IF((#REF!+#REF!+#REF!+#REF!+#REF!)&lt;&gt;$L31,1,0)</formula>
    </cfRule>
  </conditionalFormatting>
  <conditionalFormatting sqref="J31:K31">
    <cfRule type="expression" dxfId="88" priority="15" stopIfTrue="1">
      <formula>+IF((#REF!+#REF!+#REF!+#REF!+#REF!)&lt;&gt;$M31,1,0)</formula>
    </cfRule>
  </conditionalFormatting>
  <conditionalFormatting sqref="L31:O31">
    <cfRule type="expression" dxfId="87" priority="14" stopIfTrue="1">
      <formula>+IF((#REF!+#REF!+#REF!+#REF!+#REF!)&lt;&gt;$L31,1,0)</formula>
    </cfRule>
  </conditionalFormatting>
  <conditionalFormatting sqref="J31">
    <cfRule type="expression" dxfId="86" priority="13" stopIfTrue="1">
      <formula>+IF((#REF!+#REF!+#REF!+#REF!+#REF!)&lt;&gt;$M31,1,0)</formula>
    </cfRule>
  </conditionalFormatting>
  <conditionalFormatting sqref="K31">
    <cfRule type="expression" dxfId="85" priority="12" stopIfTrue="1">
      <formula>+IF((#REF!+#REF!+#REF!+#REF!+#REF!)&lt;&gt;$M31,1,0)</formula>
    </cfRule>
  </conditionalFormatting>
  <conditionalFormatting sqref="T31:U31 AB31 W31:X31">
    <cfRule type="expression" dxfId="84" priority="11" stopIfTrue="1">
      <formula>+IF((#REF!+#REF!+#REF!+#REF!+#REF!)&lt;&gt;$M31,1,0)</formula>
    </cfRule>
  </conditionalFormatting>
  <conditionalFormatting sqref="T31:U31 AB31 W31:X31">
    <cfRule type="expression" dxfId="83" priority="10" stopIfTrue="1">
      <formula>+IF((#REF!+#REF!+#REF!+#REF!+#REF!)&lt;&gt;$M31,1,0)</formula>
    </cfRule>
  </conditionalFormatting>
  <conditionalFormatting sqref="AC31">
    <cfRule type="expression" dxfId="82" priority="9" stopIfTrue="1">
      <formula>+IF((#REF!+#REF!+#REF!+#REF!+#REF!)&lt;&gt;$M31,1,0)</formula>
    </cfRule>
  </conditionalFormatting>
  <conditionalFormatting sqref="AC31">
    <cfRule type="expression" dxfId="81" priority="8" stopIfTrue="1">
      <formula>+IF((#REF!+#REF!+#REF!+#REF!+#REF!)&lt;&gt;$M31,1,0)</formula>
    </cfRule>
  </conditionalFormatting>
  <conditionalFormatting sqref="Y31">
    <cfRule type="expression" dxfId="80" priority="7" stopIfTrue="1">
      <formula>+IF((#REF!+#REF!+#REF!+#REF!+#REF!)&lt;&gt;$M31,1,0)</formula>
    </cfRule>
  </conditionalFormatting>
  <conditionalFormatting sqref="Y31">
    <cfRule type="expression" dxfId="79" priority="6" stopIfTrue="1">
      <formula>+IF((#REF!+#REF!+#REF!+#REF!+#REF!)&lt;&gt;$M31,1,0)</formula>
    </cfRule>
  </conditionalFormatting>
  <conditionalFormatting sqref="L36:O36">
    <cfRule type="expression" dxfId="78" priority="5" stopIfTrue="1">
      <formula>+IF((#REF!+#REF!+#REF!+#REF!+#REF!)&lt;&gt;$L36,1,0)</formula>
    </cfRule>
  </conditionalFormatting>
  <conditionalFormatting sqref="L36:O36 V37">
    <cfRule type="expression" dxfId="77" priority="4" stopIfTrue="1">
      <formula>+IF((#REF!+#REF!+#REF!+#REF!+#REF!)&lt;&gt;$L36,1,0)</formula>
    </cfRule>
  </conditionalFormatting>
  <conditionalFormatting sqref="V37">
    <cfRule type="expression" dxfId="76" priority="3" stopIfTrue="1">
      <formula>+IF((#REF!+#REF!+#REF!+#REF!+#REF!)&lt;&gt;$L37,1,0)</formula>
    </cfRule>
  </conditionalFormatting>
  <conditionalFormatting sqref="U37">
    <cfRule type="expression" dxfId="75" priority="2" stopIfTrue="1">
      <formula>+IF((#REF!+#REF!+#REF!+#REF!+#REF!)&lt;&gt;$M37,1,0)</formula>
    </cfRule>
  </conditionalFormatting>
  <conditionalFormatting sqref="U37">
    <cfRule type="expression" dxfId="74" priority="1" stopIfTrue="1">
      <formula>+IF((#REF!+#REF!+#REF!+#REF!+#REF!)&lt;&gt;$M37,1,0)</formula>
    </cfRule>
  </conditionalFormatting>
  <dataValidations count="1">
    <dataValidation type="list" allowBlank="1" showInputMessage="1" showErrorMessage="1" sqref="Q43:R44 Q31:R32 Q11:R11 Q15:R18 Q36:R36 Q38:R38">
      <formula1>#REF!</formula1>
    </dataValidation>
  </dataValidations>
  <pageMargins left="0.7" right="0.7" top="0.75" bottom="0.75" header="0.3" footer="0.3"/>
  <pageSetup scale="31"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U34"/>
  <sheetViews>
    <sheetView zoomScale="96" zoomScaleNormal="96" workbookViewId="0">
      <selection activeCell="I18" sqref="I18"/>
    </sheetView>
  </sheetViews>
  <sheetFormatPr baseColWidth="10" defaultColWidth="11.42578125" defaultRowHeight="16.5" x14ac:dyDescent="0.3"/>
  <cols>
    <col min="1" max="1" width="11.42578125" style="161"/>
    <col min="2" max="2" width="21.140625" style="161" customWidth="1"/>
    <col min="3" max="3" width="20" style="161" customWidth="1"/>
    <col min="4" max="4" width="11.42578125" style="161"/>
    <col min="5" max="5" width="6.7109375" style="161" customWidth="1"/>
    <col min="6" max="6" width="6" style="161" customWidth="1"/>
    <col min="7" max="7" width="6.140625" style="161" customWidth="1"/>
    <col min="8" max="8" width="6.42578125" style="161" customWidth="1"/>
    <col min="9" max="10" width="11.42578125" style="161"/>
    <col min="11" max="11" width="13.85546875" style="161" customWidth="1"/>
    <col min="12" max="12" width="5.140625" style="161" customWidth="1"/>
    <col min="13" max="13" width="15.28515625" style="161" customWidth="1"/>
    <col min="14" max="14" width="14.7109375" style="161" customWidth="1"/>
    <col min="15" max="15" width="11.42578125" style="161"/>
    <col min="16" max="16" width="15.5703125" style="161" customWidth="1"/>
    <col min="17" max="17" width="17.140625" style="161" customWidth="1"/>
    <col min="18" max="18" width="16.28515625" style="161" customWidth="1"/>
    <col min="19" max="19" width="14" style="161" customWidth="1"/>
    <col min="20" max="20" width="18.140625" style="161" customWidth="1"/>
    <col min="21" max="21" width="17.5703125" style="161" customWidth="1"/>
    <col min="22" max="16384" width="11.42578125" style="161"/>
  </cols>
  <sheetData>
    <row r="2" spans="2:21" ht="18.75" x14ac:dyDescent="0.3">
      <c r="R2" s="677" t="s">
        <v>325</v>
      </c>
      <c r="S2" s="677"/>
      <c r="T2" s="677"/>
      <c r="U2" s="677"/>
    </row>
    <row r="3" spans="2:21" x14ac:dyDescent="0.3">
      <c r="L3" s="678" t="s">
        <v>0</v>
      </c>
      <c r="M3" s="678"/>
      <c r="N3" s="678"/>
      <c r="O3" s="678"/>
      <c r="P3" s="678"/>
      <c r="Q3" s="678"/>
      <c r="R3" s="678"/>
      <c r="S3" s="678"/>
      <c r="T3" s="678"/>
      <c r="U3" s="678"/>
    </row>
    <row r="4" spans="2:21" ht="33.75" customHeight="1" x14ac:dyDescent="0.3">
      <c r="L4" s="679"/>
      <c r="M4" s="679"/>
      <c r="N4" s="679"/>
      <c r="O4" s="679"/>
      <c r="P4" s="679"/>
      <c r="Q4" s="679"/>
      <c r="R4" s="679"/>
      <c r="S4" s="679"/>
      <c r="T4" s="679"/>
      <c r="U4" s="679"/>
    </row>
    <row r="5" spans="2:21" x14ac:dyDescent="0.3">
      <c r="B5" s="523" t="s">
        <v>23</v>
      </c>
      <c r="C5" s="523"/>
      <c r="D5" s="523"/>
      <c r="E5" s="523"/>
      <c r="F5" s="523"/>
      <c r="G5" s="523"/>
      <c r="H5" s="523"/>
      <c r="I5" s="523"/>
      <c r="J5" s="523"/>
      <c r="K5" s="523"/>
      <c r="L5" s="523"/>
      <c r="M5" s="523"/>
      <c r="N5" s="523"/>
      <c r="O5" s="523"/>
      <c r="P5" s="523"/>
      <c r="Q5" s="523"/>
      <c r="R5" s="523"/>
      <c r="S5" s="523"/>
      <c r="T5" s="523"/>
      <c r="U5" s="523"/>
    </row>
    <row r="6" spans="2:21" x14ac:dyDescent="0.3">
      <c r="B6" s="523" t="s">
        <v>34</v>
      </c>
      <c r="C6" s="523"/>
      <c r="D6" s="523"/>
      <c r="E6" s="523"/>
      <c r="F6" s="523"/>
      <c r="G6" s="523"/>
      <c r="H6" s="523"/>
      <c r="I6" s="523"/>
      <c r="J6" s="523"/>
      <c r="K6" s="523"/>
      <c r="L6" s="523"/>
      <c r="M6" s="523"/>
      <c r="N6" s="523"/>
      <c r="O6" s="523"/>
      <c r="P6" s="523"/>
      <c r="Q6" s="523"/>
      <c r="R6" s="523"/>
      <c r="S6" s="523"/>
      <c r="T6" s="523"/>
      <c r="U6" s="523"/>
    </row>
    <row r="7" spans="2:21" x14ac:dyDescent="0.3">
      <c r="B7" s="523" t="s">
        <v>35</v>
      </c>
      <c r="C7" s="523"/>
      <c r="D7" s="523"/>
      <c r="E7" s="523"/>
      <c r="F7" s="523"/>
      <c r="G7" s="523"/>
      <c r="H7" s="523"/>
      <c r="I7" s="523"/>
      <c r="J7" s="523"/>
      <c r="K7" s="523"/>
      <c r="L7" s="523"/>
      <c r="M7" s="523"/>
      <c r="N7" s="523"/>
      <c r="O7" s="523"/>
      <c r="P7" s="523"/>
      <c r="Q7" s="523"/>
      <c r="R7" s="523"/>
      <c r="S7" s="523"/>
      <c r="T7" s="523"/>
      <c r="U7" s="523"/>
    </row>
    <row r="8" spans="2:21" x14ac:dyDescent="0.3">
      <c r="B8" s="517" t="s">
        <v>3</v>
      </c>
      <c r="C8" s="517"/>
      <c r="D8" s="517"/>
      <c r="E8" s="517"/>
      <c r="F8" s="517"/>
      <c r="G8" s="517"/>
      <c r="H8" s="517"/>
      <c r="I8" s="517"/>
      <c r="J8" s="517"/>
      <c r="K8" s="135"/>
      <c r="L8" s="517" t="s">
        <v>72</v>
      </c>
      <c r="M8" s="517"/>
      <c r="N8" s="517"/>
      <c r="O8" s="517"/>
      <c r="P8" s="517"/>
      <c r="Q8" s="511" t="s">
        <v>4</v>
      </c>
      <c r="R8" s="511"/>
      <c r="S8" s="511"/>
      <c r="T8" s="511"/>
      <c r="U8" s="522" t="s">
        <v>40</v>
      </c>
    </row>
    <row r="9" spans="2:21" ht="42.75" customHeight="1" x14ac:dyDescent="0.3">
      <c r="B9" s="85" t="s">
        <v>51</v>
      </c>
      <c r="C9" s="85" t="s">
        <v>12</v>
      </c>
      <c r="D9" s="85" t="s">
        <v>52</v>
      </c>
      <c r="E9" s="85" t="s">
        <v>24</v>
      </c>
      <c r="F9" s="85" t="s">
        <v>25</v>
      </c>
      <c r="G9" s="85" t="s">
        <v>26</v>
      </c>
      <c r="H9" s="85" t="s">
        <v>27</v>
      </c>
      <c r="I9" s="85" t="s">
        <v>28</v>
      </c>
      <c r="J9" s="85" t="s">
        <v>29</v>
      </c>
      <c r="K9" s="85" t="s">
        <v>47</v>
      </c>
      <c r="L9" s="86" t="s">
        <v>14</v>
      </c>
      <c r="M9" s="86" t="s">
        <v>79</v>
      </c>
      <c r="N9" s="86" t="s">
        <v>15</v>
      </c>
      <c r="O9" s="86" t="s">
        <v>16</v>
      </c>
      <c r="P9" s="136" t="s">
        <v>48</v>
      </c>
      <c r="Q9" s="86" t="s">
        <v>17</v>
      </c>
      <c r="R9" s="86" t="s">
        <v>18</v>
      </c>
      <c r="S9" s="86" t="s">
        <v>19</v>
      </c>
      <c r="T9" s="198" t="s">
        <v>361</v>
      </c>
      <c r="U9" s="522"/>
    </row>
    <row r="10" spans="2:21" x14ac:dyDescent="0.3">
      <c r="B10" s="519" t="s">
        <v>242</v>
      </c>
      <c r="C10" s="688" t="s">
        <v>243</v>
      </c>
      <c r="D10" s="689" t="s">
        <v>244</v>
      </c>
      <c r="E10" s="572">
        <v>4</v>
      </c>
      <c r="F10" s="572">
        <v>4</v>
      </c>
      <c r="G10" s="572">
        <v>4</v>
      </c>
      <c r="H10" s="572">
        <v>4</v>
      </c>
      <c r="I10" s="510">
        <f>SUM(E10:H10)</f>
        <v>16</v>
      </c>
      <c r="J10" s="500" t="s">
        <v>245</v>
      </c>
      <c r="K10" s="500" t="s">
        <v>113</v>
      </c>
      <c r="L10" s="686">
        <v>1</v>
      </c>
      <c r="M10" s="499" t="s">
        <v>246</v>
      </c>
      <c r="N10" s="502" t="s">
        <v>244</v>
      </c>
      <c r="O10" s="521">
        <v>4</v>
      </c>
      <c r="P10" s="500" t="s">
        <v>247</v>
      </c>
      <c r="Q10" s="575">
        <f>R10+S10+T10</f>
        <v>2855000000</v>
      </c>
      <c r="R10" s="512">
        <f>2905000000-50000000-343998590</f>
        <v>2511001410</v>
      </c>
      <c r="S10" s="512">
        <v>0</v>
      </c>
      <c r="T10" s="512">
        <v>343998590</v>
      </c>
      <c r="U10" s="512">
        <v>0</v>
      </c>
    </row>
    <row r="11" spans="2:21" ht="62.25" customHeight="1" x14ac:dyDescent="0.3">
      <c r="B11" s="519"/>
      <c r="C11" s="688"/>
      <c r="D11" s="689"/>
      <c r="E11" s="572"/>
      <c r="F11" s="572"/>
      <c r="G11" s="572"/>
      <c r="H11" s="572"/>
      <c r="I11" s="510"/>
      <c r="J11" s="500"/>
      <c r="K11" s="500"/>
      <c r="L11" s="686"/>
      <c r="M11" s="499"/>
      <c r="N11" s="502"/>
      <c r="O11" s="521"/>
      <c r="P11" s="500"/>
      <c r="Q11" s="575"/>
      <c r="R11" s="512"/>
      <c r="S11" s="512"/>
      <c r="T11" s="512"/>
      <c r="U11" s="512"/>
    </row>
    <row r="12" spans="2:21" ht="177.75" customHeight="1" x14ac:dyDescent="0.3">
      <c r="B12" s="54" t="s">
        <v>248</v>
      </c>
      <c r="C12" s="55" t="s">
        <v>249</v>
      </c>
      <c r="D12" s="55" t="s">
        <v>250</v>
      </c>
      <c r="E12" s="296">
        <v>0.1</v>
      </c>
      <c r="F12" s="219">
        <v>0.05</v>
      </c>
      <c r="G12" s="130">
        <v>0.15</v>
      </c>
      <c r="H12" s="130">
        <v>0.1</v>
      </c>
      <c r="I12" s="131">
        <f>SUM(E12:H12)</f>
        <v>0.4</v>
      </c>
      <c r="J12" s="59" t="s">
        <v>245</v>
      </c>
      <c r="K12" s="59" t="s">
        <v>113</v>
      </c>
      <c r="L12" s="686"/>
      <c r="M12" s="499"/>
      <c r="N12" s="314" t="s">
        <v>251</v>
      </c>
      <c r="O12" s="180">
        <v>0.05</v>
      </c>
      <c r="P12" s="500"/>
      <c r="Q12" s="575"/>
      <c r="R12" s="512"/>
      <c r="S12" s="512"/>
      <c r="T12" s="512"/>
      <c r="U12" s="512"/>
    </row>
    <row r="13" spans="2:21" x14ac:dyDescent="0.3">
      <c r="B13" s="523" t="s">
        <v>202</v>
      </c>
      <c r="C13" s="523"/>
      <c r="D13" s="523"/>
      <c r="E13" s="523"/>
      <c r="F13" s="523"/>
      <c r="G13" s="523"/>
      <c r="H13" s="523"/>
      <c r="I13" s="523"/>
      <c r="J13" s="523"/>
      <c r="K13" s="523"/>
      <c r="L13" s="523"/>
      <c r="M13" s="523"/>
      <c r="N13" s="523"/>
      <c r="O13" s="523"/>
      <c r="P13" s="523"/>
      <c r="Q13" s="523"/>
      <c r="R13" s="523"/>
      <c r="S13" s="523"/>
      <c r="T13" s="523"/>
      <c r="U13" s="523"/>
    </row>
    <row r="14" spans="2:21" x14ac:dyDescent="0.3">
      <c r="B14" s="523" t="s">
        <v>203</v>
      </c>
      <c r="C14" s="523"/>
      <c r="D14" s="523"/>
      <c r="E14" s="523"/>
      <c r="F14" s="523"/>
      <c r="G14" s="523"/>
      <c r="H14" s="523"/>
      <c r="I14" s="523"/>
      <c r="J14" s="523"/>
      <c r="K14" s="523"/>
      <c r="L14" s="523"/>
      <c r="M14" s="523"/>
      <c r="N14" s="523"/>
      <c r="O14" s="523"/>
      <c r="P14" s="523"/>
      <c r="Q14" s="523"/>
      <c r="R14" s="523"/>
      <c r="S14" s="523"/>
      <c r="T14" s="523"/>
      <c r="U14" s="523"/>
    </row>
    <row r="15" spans="2:21" x14ac:dyDescent="0.3">
      <c r="B15" s="523" t="s">
        <v>204</v>
      </c>
      <c r="C15" s="523"/>
      <c r="D15" s="523"/>
      <c r="E15" s="523"/>
      <c r="F15" s="523"/>
      <c r="G15" s="523"/>
      <c r="H15" s="523"/>
      <c r="I15" s="523"/>
      <c r="J15" s="523"/>
      <c r="K15" s="523"/>
      <c r="L15" s="523"/>
      <c r="M15" s="523"/>
      <c r="N15" s="523"/>
      <c r="O15" s="523"/>
      <c r="P15" s="523"/>
      <c r="Q15" s="523"/>
      <c r="R15" s="523"/>
      <c r="S15" s="523"/>
      <c r="T15" s="523"/>
      <c r="U15" s="523"/>
    </row>
    <row r="16" spans="2:21" x14ac:dyDescent="0.3">
      <c r="B16" s="517" t="s">
        <v>3</v>
      </c>
      <c r="C16" s="517"/>
      <c r="D16" s="517"/>
      <c r="E16" s="517"/>
      <c r="F16" s="517"/>
      <c r="G16" s="517"/>
      <c r="H16" s="517"/>
      <c r="I16" s="517"/>
      <c r="J16" s="517"/>
      <c r="K16" s="135"/>
      <c r="L16" s="517" t="s">
        <v>72</v>
      </c>
      <c r="M16" s="517"/>
      <c r="N16" s="517"/>
      <c r="O16" s="517"/>
      <c r="P16" s="517"/>
      <c r="Q16" s="511" t="s">
        <v>4</v>
      </c>
      <c r="R16" s="511"/>
      <c r="S16" s="511"/>
      <c r="T16" s="511"/>
      <c r="U16" s="522" t="s">
        <v>40</v>
      </c>
    </row>
    <row r="17" spans="2:21" ht="51" customHeight="1" x14ac:dyDescent="0.3">
      <c r="B17" s="85" t="s">
        <v>51</v>
      </c>
      <c r="C17" s="85" t="s">
        <v>12</v>
      </c>
      <c r="D17" s="85" t="s">
        <v>52</v>
      </c>
      <c r="E17" s="85" t="s">
        <v>24</v>
      </c>
      <c r="F17" s="85" t="s">
        <v>25</v>
      </c>
      <c r="G17" s="85" t="s">
        <v>26</v>
      </c>
      <c r="H17" s="85" t="s">
        <v>27</v>
      </c>
      <c r="I17" s="85" t="s">
        <v>28</v>
      </c>
      <c r="J17" s="85" t="s">
        <v>29</v>
      </c>
      <c r="K17" s="85" t="s">
        <v>47</v>
      </c>
      <c r="L17" s="86" t="s">
        <v>14</v>
      </c>
      <c r="M17" s="86" t="s">
        <v>31</v>
      </c>
      <c r="N17" s="86" t="s">
        <v>15</v>
      </c>
      <c r="O17" s="86" t="s">
        <v>16</v>
      </c>
      <c r="P17" s="136" t="s">
        <v>48</v>
      </c>
      <c r="Q17" s="86" t="s">
        <v>17</v>
      </c>
      <c r="R17" s="86" t="s">
        <v>18</v>
      </c>
      <c r="S17" s="86" t="s">
        <v>19</v>
      </c>
      <c r="T17" s="199" t="s">
        <v>361</v>
      </c>
      <c r="U17" s="522"/>
    </row>
    <row r="18" spans="2:21" ht="40.5" customHeight="1" x14ac:dyDescent="0.3">
      <c r="B18" s="520" t="s">
        <v>252</v>
      </c>
      <c r="C18" s="59" t="s">
        <v>253</v>
      </c>
      <c r="D18" s="76" t="s">
        <v>254</v>
      </c>
      <c r="E18" s="82">
        <v>1</v>
      </c>
      <c r="F18" s="82">
        <v>1</v>
      </c>
      <c r="G18" s="57">
        <v>1</v>
      </c>
      <c r="H18" s="57">
        <v>1</v>
      </c>
      <c r="I18" s="58">
        <f>SUM(E18:H18)</f>
        <v>4</v>
      </c>
      <c r="J18" s="502" t="s">
        <v>245</v>
      </c>
      <c r="K18" s="502" t="s">
        <v>113</v>
      </c>
      <c r="L18" s="686">
        <v>2</v>
      </c>
      <c r="M18" s="502" t="s">
        <v>255</v>
      </c>
      <c r="N18" s="687" t="s">
        <v>241</v>
      </c>
      <c r="O18" s="690">
        <v>3</v>
      </c>
      <c r="P18" s="502" t="s">
        <v>247</v>
      </c>
      <c r="Q18" s="575">
        <f>R18+S18+T18</f>
        <v>751815040</v>
      </c>
      <c r="R18" s="692">
        <f>756000000-630000000-4184960</f>
        <v>121815040</v>
      </c>
      <c r="S18" s="693">
        <v>0</v>
      </c>
      <c r="T18" s="693">
        <v>630000000</v>
      </c>
      <c r="U18" s="586">
        <v>30000000</v>
      </c>
    </row>
    <row r="19" spans="2:21" ht="67.5" x14ac:dyDescent="0.3">
      <c r="B19" s="520"/>
      <c r="C19" s="59" t="s">
        <v>256</v>
      </c>
      <c r="D19" s="76" t="s">
        <v>257</v>
      </c>
      <c r="E19" s="82">
        <v>0</v>
      </c>
      <c r="F19" s="82">
        <v>0</v>
      </c>
      <c r="G19" s="57">
        <v>0</v>
      </c>
      <c r="H19" s="57">
        <v>1</v>
      </c>
      <c r="I19" s="58">
        <f>H19</f>
        <v>1</v>
      </c>
      <c r="J19" s="502"/>
      <c r="K19" s="502"/>
      <c r="L19" s="686"/>
      <c r="M19" s="502"/>
      <c r="N19" s="687"/>
      <c r="O19" s="691"/>
      <c r="P19" s="502"/>
      <c r="Q19" s="575"/>
      <c r="R19" s="692"/>
      <c r="S19" s="694"/>
      <c r="T19" s="694"/>
      <c r="U19" s="587"/>
    </row>
    <row r="20" spans="2:21" x14ac:dyDescent="0.3">
      <c r="B20" s="132" t="s">
        <v>258</v>
      </c>
      <c r="C20" s="133"/>
      <c r="D20" s="133"/>
      <c r="E20" s="133"/>
      <c r="F20" s="134"/>
      <c r="G20" s="134"/>
      <c r="H20" s="134"/>
      <c r="I20" s="134"/>
      <c r="J20" s="134"/>
      <c r="K20" s="134"/>
      <c r="L20" s="134"/>
      <c r="M20" s="134"/>
      <c r="N20" s="134"/>
      <c r="O20" s="134"/>
      <c r="P20" s="134"/>
      <c r="Q20" s="134"/>
      <c r="R20" s="134"/>
      <c r="S20" s="134"/>
      <c r="T20" s="134"/>
      <c r="U20" s="134"/>
    </row>
    <row r="21" spans="2:21" x14ac:dyDescent="0.3">
      <c r="B21" s="523" t="s">
        <v>259</v>
      </c>
      <c r="C21" s="523"/>
      <c r="D21" s="523"/>
      <c r="E21" s="523"/>
      <c r="F21" s="523"/>
      <c r="G21" s="523"/>
      <c r="H21" s="523"/>
      <c r="I21" s="523"/>
      <c r="J21" s="523"/>
      <c r="K21" s="523"/>
      <c r="L21" s="523"/>
      <c r="M21" s="523"/>
      <c r="N21" s="523"/>
      <c r="O21" s="523"/>
      <c r="P21" s="523"/>
      <c r="Q21" s="523"/>
      <c r="R21" s="523"/>
      <c r="S21" s="523"/>
      <c r="T21" s="523"/>
      <c r="U21" s="523"/>
    </row>
    <row r="22" spans="2:21" ht="108" x14ac:dyDescent="0.3">
      <c r="B22" s="54" t="s">
        <v>260</v>
      </c>
      <c r="C22" s="68" t="s">
        <v>261</v>
      </c>
      <c r="D22" s="59" t="s">
        <v>262</v>
      </c>
      <c r="E22" s="57">
        <v>1</v>
      </c>
      <c r="F22" s="57">
        <v>1</v>
      </c>
      <c r="G22" s="57">
        <v>1</v>
      </c>
      <c r="H22" s="57">
        <v>1</v>
      </c>
      <c r="I22" s="58">
        <f>SUM(E22:H22)</f>
        <v>4</v>
      </c>
      <c r="J22" s="59" t="s">
        <v>245</v>
      </c>
      <c r="K22" s="59" t="s">
        <v>113</v>
      </c>
      <c r="L22" s="307">
        <v>3</v>
      </c>
      <c r="M22" s="59" t="s">
        <v>263</v>
      </c>
      <c r="N22" s="60" t="s">
        <v>241</v>
      </c>
      <c r="O22" s="87">
        <v>4</v>
      </c>
      <c r="P22" s="59" t="s">
        <v>264</v>
      </c>
      <c r="Q22" s="81">
        <f>R22+S22+T22</f>
        <v>865684960</v>
      </c>
      <c r="R22" s="63">
        <f>911500000-50000000+4184960</f>
        <v>865684960</v>
      </c>
      <c r="S22" s="63">
        <v>0</v>
      </c>
      <c r="T22" s="63">
        <v>0</v>
      </c>
      <c r="U22" s="63">
        <f>85489529-9184900+19184000</f>
        <v>95488629</v>
      </c>
    </row>
    <row r="23" spans="2:21" x14ac:dyDescent="0.3">
      <c r="B23" s="523" t="s">
        <v>265</v>
      </c>
      <c r="C23" s="523"/>
      <c r="D23" s="523"/>
      <c r="E23" s="523"/>
      <c r="F23" s="523"/>
      <c r="G23" s="523"/>
      <c r="H23" s="523"/>
      <c r="I23" s="523"/>
      <c r="J23" s="523"/>
      <c r="K23" s="523"/>
      <c r="L23" s="523"/>
      <c r="M23" s="523"/>
      <c r="N23" s="523"/>
      <c r="O23" s="523"/>
      <c r="P23" s="523"/>
      <c r="Q23" s="523"/>
      <c r="R23" s="523"/>
      <c r="S23" s="523"/>
      <c r="T23" s="523"/>
      <c r="U23" s="523"/>
    </row>
    <row r="24" spans="2:21" x14ac:dyDescent="0.3">
      <c r="B24" s="523" t="s">
        <v>154</v>
      </c>
      <c r="C24" s="523"/>
      <c r="D24" s="523"/>
      <c r="E24" s="523"/>
      <c r="F24" s="523"/>
      <c r="G24" s="523"/>
      <c r="H24" s="523"/>
      <c r="I24" s="523"/>
      <c r="J24" s="523"/>
      <c r="K24" s="523"/>
      <c r="L24" s="523"/>
      <c r="M24" s="523"/>
      <c r="N24" s="523"/>
      <c r="O24" s="523"/>
      <c r="P24" s="523"/>
      <c r="Q24" s="523"/>
      <c r="R24" s="523"/>
      <c r="S24" s="523"/>
      <c r="T24" s="523"/>
      <c r="U24" s="523"/>
    </row>
    <row r="25" spans="2:21" x14ac:dyDescent="0.3">
      <c r="B25" s="523" t="s">
        <v>155</v>
      </c>
      <c r="C25" s="523"/>
      <c r="D25" s="523"/>
      <c r="E25" s="523"/>
      <c r="F25" s="523"/>
      <c r="G25" s="523"/>
      <c r="H25" s="523"/>
      <c r="I25" s="523"/>
      <c r="J25" s="523"/>
      <c r="K25" s="523"/>
      <c r="L25" s="523"/>
      <c r="M25" s="523"/>
      <c r="N25" s="523"/>
      <c r="O25" s="523"/>
      <c r="P25" s="523"/>
      <c r="Q25" s="523"/>
      <c r="R25" s="523"/>
      <c r="S25" s="523"/>
      <c r="T25" s="523"/>
      <c r="U25" s="523"/>
    </row>
    <row r="26" spans="2:21" ht="67.5" customHeight="1" x14ac:dyDescent="0.3">
      <c r="B26" s="680" t="s">
        <v>156</v>
      </c>
      <c r="C26" s="683" t="s">
        <v>266</v>
      </c>
      <c r="D26" s="59" t="s">
        <v>267</v>
      </c>
      <c r="E26" s="82">
        <v>3</v>
      </c>
      <c r="F26" s="82">
        <v>3</v>
      </c>
      <c r="G26" s="82">
        <v>3</v>
      </c>
      <c r="H26" s="82">
        <v>3</v>
      </c>
      <c r="I26" s="58">
        <f>SUM(E26:H26)</f>
        <v>12</v>
      </c>
      <c r="J26" s="59" t="s">
        <v>245</v>
      </c>
      <c r="K26" s="492" t="s">
        <v>118</v>
      </c>
      <c r="L26" s="670">
        <v>4</v>
      </c>
      <c r="M26" s="492" t="s">
        <v>268</v>
      </c>
      <c r="N26" s="59" t="s">
        <v>241</v>
      </c>
      <c r="O26" s="137">
        <v>3</v>
      </c>
      <c r="P26" s="504" t="s">
        <v>269</v>
      </c>
      <c r="Q26" s="673">
        <f>R26+S26+T26</f>
        <v>771498590</v>
      </c>
      <c r="R26" s="590">
        <f>827500000-56001410-526001410</f>
        <v>245497180</v>
      </c>
      <c r="S26" s="590">
        <v>0</v>
      </c>
      <c r="T26" s="590">
        <v>526001410</v>
      </c>
      <c r="U26" s="590">
        <v>0</v>
      </c>
    </row>
    <row r="27" spans="2:21" ht="16.5" customHeight="1" x14ac:dyDescent="0.3">
      <c r="B27" s="681"/>
      <c r="C27" s="684"/>
      <c r="D27" s="492" t="s">
        <v>270</v>
      </c>
      <c r="E27" s="666">
        <v>3</v>
      </c>
      <c r="F27" s="695">
        <v>0</v>
      </c>
      <c r="G27" s="666">
        <v>3</v>
      </c>
      <c r="H27" s="666">
        <v>2</v>
      </c>
      <c r="I27" s="566">
        <f>SUM(E27:H27)</f>
        <v>8</v>
      </c>
      <c r="J27" s="492" t="s">
        <v>245</v>
      </c>
      <c r="K27" s="493"/>
      <c r="L27" s="671"/>
      <c r="M27" s="493"/>
      <c r="N27" s="502" t="s">
        <v>271</v>
      </c>
      <c r="O27" s="676">
        <v>3</v>
      </c>
      <c r="P27" s="505"/>
      <c r="Q27" s="674"/>
      <c r="R27" s="669"/>
      <c r="S27" s="669"/>
      <c r="T27" s="669"/>
      <c r="U27" s="669"/>
    </row>
    <row r="28" spans="2:21" ht="23.25" customHeight="1" x14ac:dyDescent="0.3">
      <c r="B28" s="681"/>
      <c r="C28" s="684"/>
      <c r="D28" s="493"/>
      <c r="E28" s="667"/>
      <c r="F28" s="696"/>
      <c r="G28" s="667"/>
      <c r="H28" s="667"/>
      <c r="I28" s="567"/>
      <c r="J28" s="493"/>
      <c r="K28" s="493"/>
      <c r="L28" s="671"/>
      <c r="M28" s="493"/>
      <c r="N28" s="502"/>
      <c r="O28" s="676"/>
      <c r="P28" s="505"/>
      <c r="Q28" s="674"/>
      <c r="R28" s="669"/>
      <c r="S28" s="669"/>
      <c r="T28" s="669"/>
      <c r="U28" s="669"/>
    </row>
    <row r="29" spans="2:21" ht="71.25" customHeight="1" x14ac:dyDescent="0.3">
      <c r="B29" s="682"/>
      <c r="C29" s="685"/>
      <c r="D29" s="495"/>
      <c r="E29" s="668"/>
      <c r="F29" s="697"/>
      <c r="G29" s="668"/>
      <c r="H29" s="668"/>
      <c r="I29" s="571"/>
      <c r="J29" s="495"/>
      <c r="K29" s="495"/>
      <c r="L29" s="672"/>
      <c r="M29" s="495"/>
      <c r="N29" s="59" t="s">
        <v>357</v>
      </c>
      <c r="O29" s="179">
        <v>50</v>
      </c>
      <c r="P29" s="506"/>
      <c r="Q29" s="675"/>
      <c r="R29" s="591"/>
      <c r="S29" s="591"/>
      <c r="T29" s="591"/>
      <c r="U29" s="591"/>
    </row>
    <row r="30" spans="2:21" x14ac:dyDescent="0.3">
      <c r="B30" s="503" t="s">
        <v>53</v>
      </c>
      <c r="C30" s="503"/>
      <c r="D30" s="503"/>
      <c r="E30" s="503"/>
      <c r="F30" s="503"/>
      <c r="G30" s="503"/>
      <c r="H30" s="503"/>
      <c r="I30" s="503"/>
      <c r="J30" s="503"/>
      <c r="K30" s="503"/>
      <c r="L30" s="503"/>
      <c r="M30" s="503"/>
      <c r="N30" s="503"/>
      <c r="O30" s="503"/>
      <c r="P30" s="503"/>
      <c r="Q30" s="138">
        <f>Q26+Q22+Q18+Q10</f>
        <v>5243998590</v>
      </c>
      <c r="R30" s="138">
        <f>R26+R22+R18+R10</f>
        <v>3743998590</v>
      </c>
      <c r="S30" s="175">
        <f>SUM(S10:S28)</f>
        <v>0</v>
      </c>
      <c r="T30" s="129">
        <f>SUM(T10:T28)</f>
        <v>1500000000</v>
      </c>
      <c r="U30" s="129">
        <f>SUM(U10:U28)</f>
        <v>125488629</v>
      </c>
    </row>
    <row r="32" spans="2:21" ht="99" x14ac:dyDescent="0.3">
      <c r="B32" s="297" t="s">
        <v>393</v>
      </c>
      <c r="U32" s="315" t="s">
        <v>396</v>
      </c>
    </row>
    <row r="33" spans="2:2" x14ac:dyDescent="0.3">
      <c r="B33" s="310" t="s">
        <v>395</v>
      </c>
    </row>
    <row r="34" spans="2:2" x14ac:dyDescent="0.3">
      <c r="B34" s="311" t="s">
        <v>391</v>
      </c>
    </row>
  </sheetData>
  <mergeCells count="75">
    <mergeCell ref="T18:T19"/>
    <mergeCell ref="L16:P16"/>
    <mergeCell ref="Q16:T16"/>
    <mergeCell ref="J18:J19"/>
    <mergeCell ref="U16:U17"/>
    <mergeCell ref="B30:P30"/>
    <mergeCell ref="N27:N28"/>
    <mergeCell ref="U18:U19"/>
    <mergeCell ref="B21:U21"/>
    <mergeCell ref="B23:U23"/>
    <mergeCell ref="B24:U24"/>
    <mergeCell ref="B25:U25"/>
    <mergeCell ref="O18:O19"/>
    <mergeCell ref="P18:P19"/>
    <mergeCell ref="Q18:Q19"/>
    <mergeCell ref="R18:R19"/>
    <mergeCell ref="S18:S19"/>
    <mergeCell ref="E27:E29"/>
    <mergeCell ref="F27:F29"/>
    <mergeCell ref="H27:H29"/>
    <mergeCell ref="I27:I29"/>
    <mergeCell ref="T10:T12"/>
    <mergeCell ref="U10:U12"/>
    <mergeCell ref="B13:U13"/>
    <mergeCell ref="B14:U14"/>
    <mergeCell ref="B15:U15"/>
    <mergeCell ref="B10:B11"/>
    <mergeCell ref="C10:C11"/>
    <mergeCell ref="D10:D11"/>
    <mergeCell ref="E10:E11"/>
    <mergeCell ref="F10:F11"/>
    <mergeCell ref="M10:M12"/>
    <mergeCell ref="G10:G11"/>
    <mergeCell ref="J10:J11"/>
    <mergeCell ref="K10:K11"/>
    <mergeCell ref="L10:L12"/>
    <mergeCell ref="N10:N11"/>
    <mergeCell ref="S10:S12"/>
    <mergeCell ref="H10:H11"/>
    <mergeCell ref="I10:I11"/>
    <mergeCell ref="B26:B29"/>
    <mergeCell ref="C26:C29"/>
    <mergeCell ref="D27:D29"/>
    <mergeCell ref="B18:B19"/>
    <mergeCell ref="O10:O11"/>
    <mergeCell ref="P10:P12"/>
    <mergeCell ref="Q10:Q12"/>
    <mergeCell ref="R10:R12"/>
    <mergeCell ref="K18:K19"/>
    <mergeCell ref="L18:L19"/>
    <mergeCell ref="M18:M19"/>
    <mergeCell ref="N18:N19"/>
    <mergeCell ref="B16:J16"/>
    <mergeCell ref="R2:U2"/>
    <mergeCell ref="B5:U5"/>
    <mergeCell ref="B6:U6"/>
    <mergeCell ref="B7:U7"/>
    <mergeCell ref="B8:J8"/>
    <mergeCell ref="L8:P8"/>
    <mergeCell ref="Q8:T8"/>
    <mergeCell ref="U8:U9"/>
    <mergeCell ref="L3:U3"/>
    <mergeCell ref="L4:U4"/>
    <mergeCell ref="J27:J29"/>
    <mergeCell ref="G27:G29"/>
    <mergeCell ref="K26:K29"/>
    <mergeCell ref="S26:S29"/>
    <mergeCell ref="U26:U29"/>
    <mergeCell ref="L26:L29"/>
    <mergeCell ref="M26:M29"/>
    <mergeCell ref="P26:P29"/>
    <mergeCell ref="Q26:Q29"/>
    <mergeCell ref="R26:R29"/>
    <mergeCell ref="O27:O28"/>
    <mergeCell ref="T26:T29"/>
  </mergeCells>
  <conditionalFormatting sqref="E26:H26 E27">
    <cfRule type="expression" dxfId="73" priority="14" stopIfTrue="1">
      <formula>+IF((#REF!+#REF!+#REF!+#REF!+#REF!)&lt;&gt;$L26,1,0)</formula>
    </cfRule>
  </conditionalFormatting>
  <conditionalFormatting sqref="C12">
    <cfRule type="expression" dxfId="72" priority="13" stopIfTrue="1">
      <formula>+IF((#REF!+#REF!+#REF!+#REF!+#REF!)&lt;&gt;$M12,1,0)</formula>
    </cfRule>
  </conditionalFormatting>
  <conditionalFormatting sqref="D12">
    <cfRule type="expression" dxfId="71" priority="12" stopIfTrue="1">
      <formula>+IF((#REF!+#REF!+#REF!+#REF!+#REF!)&lt;&gt;$M12,1,0)</formula>
    </cfRule>
  </conditionalFormatting>
  <conditionalFormatting sqref="C12">
    <cfRule type="expression" dxfId="70" priority="11" stopIfTrue="1">
      <formula>+IF((#REF!+#REF!+#REF!+#REF!+#REF!)&lt;&gt;$M12,1,0)</formula>
    </cfRule>
  </conditionalFormatting>
  <conditionalFormatting sqref="D12">
    <cfRule type="expression" dxfId="69" priority="10" stopIfTrue="1">
      <formula>+IF((#REF!+#REF!+#REF!+#REF!+#REF!)&lt;&gt;$M12,1,0)</formula>
    </cfRule>
  </conditionalFormatting>
  <conditionalFormatting sqref="E22">
    <cfRule type="expression" dxfId="68" priority="9" stopIfTrue="1">
      <formula>+IF((#REF!+#REF!+#REF!+#REF!+#REF!)&lt;&gt;$L22,1,0)</formula>
    </cfRule>
  </conditionalFormatting>
  <conditionalFormatting sqref="F22:G22">
    <cfRule type="expression" dxfId="67" priority="8" stopIfTrue="1">
      <formula>+IF((#REF!+#REF!+#REF!+#REF!+#REF!)&lt;&gt;$L22,1,0)</formula>
    </cfRule>
  </conditionalFormatting>
  <conditionalFormatting sqref="C11">
    <cfRule type="expression" dxfId="66" priority="15" stopIfTrue="1">
      <formula>+IF((#REF!+#REF!+#REF!+#REF!+#REF!)&lt;&gt;$M10,1,0)</formula>
    </cfRule>
  </conditionalFormatting>
  <conditionalFormatting sqref="C10">
    <cfRule type="expression" dxfId="65" priority="16" stopIfTrue="1">
      <formula>+IF((#REF!+#REF!+#REF!+#REF!+#REF!)&lt;&gt;#REF!,1,0)</formula>
    </cfRule>
  </conditionalFormatting>
  <conditionalFormatting sqref="C11">
    <cfRule type="expression" dxfId="64" priority="17" stopIfTrue="1">
      <formula>+IF((#REF!+#REF!+#REF!+#REF!+#REF!)&lt;&gt;$N10,1,0)</formula>
    </cfRule>
  </conditionalFormatting>
  <conditionalFormatting sqref="C11">
    <cfRule type="expression" dxfId="63" priority="18" stopIfTrue="1">
      <formula>+IF((#REF!+#REF!+#REF!+#REF!+#REF!)&lt;&gt;$N10,1,0)</formula>
    </cfRule>
  </conditionalFormatting>
  <conditionalFormatting sqref="F27:H27">
    <cfRule type="expression" dxfId="62" priority="7" stopIfTrue="1">
      <formula>+IF((#REF!+#REF!+#REF!+#REF!+#REF!)&lt;&gt;$L27,1,0)</formula>
    </cfRule>
  </conditionalFormatting>
  <conditionalFormatting sqref="D10">
    <cfRule type="expression" dxfId="61" priority="6" stopIfTrue="1">
      <formula>+IF((#REF!+#REF!+#REF!+#REF!+#REF!)&lt;&gt;$M10,1,0)</formula>
    </cfRule>
  </conditionalFormatting>
  <conditionalFormatting sqref="D10">
    <cfRule type="expression" dxfId="60" priority="5" stopIfTrue="1">
      <formula>+IF((#REF!+#REF!+#REF!+#REF!+#REF!)&lt;&gt;$M10,1,0)</formula>
    </cfRule>
  </conditionalFormatting>
  <conditionalFormatting sqref="E12:H12">
    <cfRule type="expression" dxfId="59" priority="4" stopIfTrue="1">
      <formula>+IF((#REF!+#REF!+#REF!+#REF!+#REF!)&lt;&gt;$L12,1,0)</formula>
    </cfRule>
  </conditionalFormatting>
  <conditionalFormatting sqref="E12:H12">
    <cfRule type="expression" dxfId="58" priority="3" stopIfTrue="1">
      <formula>+IF((#REF!+#REF!+#REF!+#REF!+#REF!)&lt;&gt;$L12,1,0)</formula>
    </cfRule>
  </conditionalFormatting>
  <conditionalFormatting sqref="D22">
    <cfRule type="expression" dxfId="57" priority="2" stopIfTrue="1">
      <formula>+IF((#REF!+#REF!+#REF!+#REF!+#REF!)&lt;&gt;$M22,1,0)</formula>
    </cfRule>
  </conditionalFormatting>
  <conditionalFormatting sqref="O22">
    <cfRule type="expression" dxfId="56" priority="1" stopIfTrue="1">
      <formula>+IF((#REF!+#REF!+#REF!+#REF!+#REF!)&lt;&gt;$L22,1,0)</formula>
    </cfRule>
  </conditionalFormatting>
  <dataValidations count="4">
    <dataValidation type="list" allowBlank="1" showInputMessage="1" showErrorMessage="1" sqref="J18">
      <formula1>$U$40:$U$48</formula1>
    </dataValidation>
    <dataValidation type="list" allowBlank="1" showInputMessage="1" showErrorMessage="1" sqref="P26 P22 P10 P18">
      <formula1>$Q$32:$Q$57</formula1>
    </dataValidation>
    <dataValidation type="list" allowBlank="1" showInputMessage="1" showErrorMessage="1" sqref="K10 K12 K22 K26 K18">
      <formula1>$I$35:$I$39</formula1>
    </dataValidation>
    <dataValidation type="list" allowBlank="1" showInputMessage="1" showErrorMessage="1" sqref="J10 J22 J12 J26:J27">
      <formula1>$U$41:$U$49</formula1>
    </dataValidation>
  </dataValidations>
  <pageMargins left="0.7" right="0.7" top="0.75" bottom="0.75" header="0.3" footer="0.3"/>
  <ignoredErrors>
    <ignoredError sqref="Q26 Q22 Q10:R10 Q18 Q30:R30" unlockedFormula="1"/>
  </ignoredErrors>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B2:AD33"/>
  <sheetViews>
    <sheetView topLeftCell="L25" zoomScale="80" zoomScaleNormal="80" workbookViewId="0">
      <selection activeCell="X26" sqref="X26:X29"/>
    </sheetView>
  </sheetViews>
  <sheetFormatPr baseColWidth="10" defaultColWidth="11.42578125" defaultRowHeight="16.5" x14ac:dyDescent="0.3"/>
  <cols>
    <col min="1" max="1" width="11.42578125" style="161"/>
    <col min="2" max="2" width="21.140625" style="161" customWidth="1"/>
    <col min="3" max="3" width="20" style="161" customWidth="1"/>
    <col min="4" max="4" width="11.42578125" style="161"/>
    <col min="5" max="5" width="6.7109375" style="161" customWidth="1"/>
    <col min="6" max="6" width="6" style="161" customWidth="1"/>
    <col min="7" max="7" width="6.140625" style="161" customWidth="1"/>
    <col min="8" max="8" width="6.42578125" style="161" customWidth="1"/>
    <col min="9" max="10" width="11.42578125" style="161"/>
    <col min="11" max="11" width="13.85546875" style="161" customWidth="1"/>
    <col min="12" max="12" width="5.140625" style="161" customWidth="1"/>
    <col min="13" max="13" width="15.28515625" style="161" customWidth="1"/>
    <col min="14" max="14" width="14.7109375" style="161" customWidth="1"/>
    <col min="15" max="15" width="11.42578125" style="161"/>
    <col min="16" max="16" width="15.5703125" style="161" customWidth="1"/>
    <col min="17" max="17" width="21.28515625" style="161" customWidth="1"/>
    <col min="18" max="18" width="16.28515625" style="161" customWidth="1"/>
    <col min="19" max="19" width="14" style="161" customWidth="1"/>
    <col min="20" max="20" width="18.140625" style="161" customWidth="1"/>
    <col min="21" max="21" width="27" style="161" customWidth="1"/>
    <col min="22" max="22" width="76.42578125" style="161" customWidth="1"/>
    <col min="23" max="23" width="64.42578125" style="161" customWidth="1"/>
    <col min="24" max="24" width="29.7109375" style="161" customWidth="1"/>
    <col min="25" max="25" width="116.5703125" style="161" customWidth="1"/>
    <col min="26" max="26" width="18" style="161" customWidth="1"/>
    <col min="27" max="27" width="17.42578125" style="161" bestFit="1" customWidth="1"/>
    <col min="28" max="28" width="15.85546875" style="161" bestFit="1" customWidth="1"/>
    <col min="29" max="29" width="17.42578125" style="161" bestFit="1" customWidth="1"/>
    <col min="30" max="16384" width="11.42578125" style="161"/>
  </cols>
  <sheetData>
    <row r="2" spans="2:29" ht="18.75" x14ac:dyDescent="0.3">
      <c r="R2" s="677" t="s">
        <v>325</v>
      </c>
      <c r="S2" s="677"/>
      <c r="T2" s="677"/>
      <c r="U2" s="677"/>
    </row>
    <row r="3" spans="2:29" x14ac:dyDescent="0.3">
      <c r="L3" s="678" t="s">
        <v>0</v>
      </c>
      <c r="M3" s="678"/>
      <c r="N3" s="678"/>
      <c r="O3" s="678"/>
      <c r="P3" s="678"/>
      <c r="Q3" s="678"/>
      <c r="R3" s="678"/>
      <c r="S3" s="678"/>
      <c r="T3" s="678"/>
      <c r="U3" s="678"/>
    </row>
    <row r="4" spans="2:29" ht="33.75" customHeight="1" x14ac:dyDescent="0.3">
      <c r="L4" s="679"/>
      <c r="M4" s="679"/>
      <c r="N4" s="679"/>
      <c r="O4" s="679"/>
      <c r="P4" s="679"/>
      <c r="Q4" s="679"/>
      <c r="R4" s="679"/>
      <c r="S4" s="679"/>
      <c r="T4" s="679"/>
      <c r="U4" s="679"/>
    </row>
    <row r="5" spans="2:29" x14ac:dyDescent="0.3">
      <c r="B5" s="523" t="s">
        <v>23</v>
      </c>
      <c r="C5" s="523"/>
      <c r="D5" s="523"/>
      <c r="E5" s="523"/>
      <c r="F5" s="523"/>
      <c r="G5" s="523"/>
      <c r="H5" s="523"/>
      <c r="I5" s="523"/>
      <c r="J5" s="523"/>
      <c r="K5" s="523"/>
      <c r="L5" s="523"/>
      <c r="M5" s="523"/>
      <c r="N5" s="523"/>
      <c r="O5" s="523"/>
      <c r="P5" s="523"/>
      <c r="Q5" s="523"/>
      <c r="R5" s="523"/>
      <c r="S5" s="523"/>
      <c r="T5" s="523"/>
      <c r="U5" s="523"/>
    </row>
    <row r="6" spans="2:29" x14ac:dyDescent="0.3">
      <c r="B6" s="523" t="s">
        <v>34</v>
      </c>
      <c r="C6" s="523"/>
      <c r="D6" s="523"/>
      <c r="E6" s="523"/>
      <c r="F6" s="523"/>
      <c r="G6" s="523"/>
      <c r="H6" s="523"/>
      <c r="I6" s="523"/>
      <c r="J6" s="523"/>
      <c r="K6" s="523"/>
      <c r="L6" s="523"/>
      <c r="M6" s="523"/>
      <c r="N6" s="523"/>
      <c r="O6" s="523"/>
      <c r="P6" s="523"/>
      <c r="Q6" s="523"/>
      <c r="R6" s="523"/>
      <c r="S6" s="523"/>
      <c r="T6" s="523"/>
      <c r="U6" s="523"/>
    </row>
    <row r="7" spans="2:29" x14ac:dyDescent="0.3">
      <c r="B7" s="523" t="s">
        <v>35</v>
      </c>
      <c r="C7" s="523"/>
      <c r="D7" s="523"/>
      <c r="E7" s="523"/>
      <c r="F7" s="523"/>
      <c r="G7" s="523"/>
      <c r="H7" s="523"/>
      <c r="I7" s="523"/>
      <c r="J7" s="523"/>
      <c r="K7" s="523"/>
      <c r="L7" s="523"/>
      <c r="M7" s="523"/>
      <c r="N7" s="523"/>
      <c r="O7" s="523"/>
      <c r="P7" s="523"/>
      <c r="Q7" s="523"/>
      <c r="R7" s="523"/>
      <c r="S7" s="523"/>
      <c r="T7" s="523"/>
      <c r="U7" s="523"/>
      <c r="W7" s="708" t="s">
        <v>413</v>
      </c>
      <c r="X7" s="708"/>
      <c r="Y7" s="708"/>
    </row>
    <row r="8" spans="2:29" x14ac:dyDescent="0.3">
      <c r="B8" s="517" t="s">
        <v>3</v>
      </c>
      <c r="C8" s="517"/>
      <c r="D8" s="517"/>
      <c r="E8" s="517"/>
      <c r="F8" s="517"/>
      <c r="G8" s="517"/>
      <c r="H8" s="517"/>
      <c r="I8" s="517"/>
      <c r="J8" s="517"/>
      <c r="K8" s="135"/>
      <c r="L8" s="517" t="s">
        <v>72</v>
      </c>
      <c r="M8" s="517"/>
      <c r="N8" s="517"/>
      <c r="O8" s="517"/>
      <c r="P8" s="517"/>
      <c r="Q8" s="511" t="s">
        <v>4</v>
      </c>
      <c r="R8" s="511"/>
      <c r="S8" s="511"/>
      <c r="T8" s="511"/>
      <c r="U8" s="522" t="s">
        <v>40</v>
      </c>
      <c r="W8" s="556" t="s">
        <v>410</v>
      </c>
      <c r="X8" s="557"/>
      <c r="Y8" s="558" t="s">
        <v>442</v>
      </c>
    </row>
    <row r="9" spans="2:29" ht="42.75" customHeight="1" x14ac:dyDescent="0.3">
      <c r="B9" s="274" t="s">
        <v>51</v>
      </c>
      <c r="C9" s="274" t="s">
        <v>12</v>
      </c>
      <c r="D9" s="274" t="s">
        <v>52</v>
      </c>
      <c r="E9" s="274" t="s">
        <v>24</v>
      </c>
      <c r="F9" s="274" t="s">
        <v>25</v>
      </c>
      <c r="G9" s="274" t="s">
        <v>26</v>
      </c>
      <c r="H9" s="274" t="s">
        <v>27</v>
      </c>
      <c r="I9" s="274" t="s">
        <v>28</v>
      </c>
      <c r="J9" s="274" t="s">
        <v>29</v>
      </c>
      <c r="K9" s="274" t="s">
        <v>47</v>
      </c>
      <c r="L9" s="280" t="s">
        <v>14</v>
      </c>
      <c r="M9" s="280" t="s">
        <v>79</v>
      </c>
      <c r="N9" s="280" t="s">
        <v>15</v>
      </c>
      <c r="O9" s="280" t="s">
        <v>16</v>
      </c>
      <c r="P9" s="136" t="s">
        <v>48</v>
      </c>
      <c r="Q9" s="280" t="s">
        <v>17</v>
      </c>
      <c r="R9" s="280" t="s">
        <v>18</v>
      </c>
      <c r="S9" s="280" t="s">
        <v>19</v>
      </c>
      <c r="T9" s="280" t="s">
        <v>361</v>
      </c>
      <c r="U9" s="522"/>
      <c r="V9" s="372" t="s">
        <v>423</v>
      </c>
      <c r="W9" s="292" t="s">
        <v>408</v>
      </c>
      <c r="X9" s="292" t="s">
        <v>409</v>
      </c>
      <c r="Y9" s="559"/>
    </row>
    <row r="10" spans="2:29" ht="176.25" customHeight="1" x14ac:dyDescent="0.3">
      <c r="B10" s="519" t="s">
        <v>242</v>
      </c>
      <c r="C10" s="689" t="s">
        <v>243</v>
      </c>
      <c r="D10" s="689" t="s">
        <v>244</v>
      </c>
      <c r="E10" s="572">
        <v>4</v>
      </c>
      <c r="F10" s="572">
        <v>4</v>
      </c>
      <c r="G10" s="572">
        <v>4</v>
      </c>
      <c r="H10" s="572">
        <v>4</v>
      </c>
      <c r="I10" s="510">
        <f>SUM(E10:H10)</f>
        <v>16</v>
      </c>
      <c r="J10" s="500" t="s">
        <v>245</v>
      </c>
      <c r="K10" s="500" t="s">
        <v>113</v>
      </c>
      <c r="L10" s="510">
        <v>1</v>
      </c>
      <c r="M10" s="499" t="s">
        <v>246</v>
      </c>
      <c r="N10" s="502" t="s">
        <v>244</v>
      </c>
      <c r="O10" s="521">
        <v>4</v>
      </c>
      <c r="P10" s="500" t="s">
        <v>247</v>
      </c>
      <c r="Q10" s="575">
        <f>R10+S10+T10</f>
        <v>2855000000</v>
      </c>
      <c r="R10" s="512">
        <f>2905000000-50000000-343998590</f>
        <v>2511001410</v>
      </c>
      <c r="S10" s="512">
        <v>0</v>
      </c>
      <c r="T10" s="512">
        <v>343998590</v>
      </c>
      <c r="U10" s="512">
        <v>0</v>
      </c>
      <c r="V10" s="701" t="s">
        <v>424</v>
      </c>
      <c r="W10" s="362" t="s">
        <v>450</v>
      </c>
      <c r="X10" s="550" t="s">
        <v>419</v>
      </c>
      <c r="Y10" s="553" t="s">
        <v>546</v>
      </c>
      <c r="Z10" s="709" t="s">
        <v>451</v>
      </c>
    </row>
    <row r="11" spans="2:29" ht="62.25" hidden="1" customHeight="1" x14ac:dyDescent="0.3">
      <c r="B11" s="519"/>
      <c r="C11" s="689"/>
      <c r="D11" s="689"/>
      <c r="E11" s="572"/>
      <c r="F11" s="572"/>
      <c r="G11" s="572"/>
      <c r="H11" s="572"/>
      <c r="I11" s="510"/>
      <c r="J11" s="500"/>
      <c r="K11" s="500"/>
      <c r="L11" s="510"/>
      <c r="M11" s="499"/>
      <c r="N11" s="502"/>
      <c r="O11" s="521"/>
      <c r="P11" s="500"/>
      <c r="Q11" s="575"/>
      <c r="R11" s="512"/>
      <c r="S11" s="512"/>
      <c r="T11" s="512"/>
      <c r="U11" s="512"/>
      <c r="V11" s="539"/>
      <c r="W11" s="359"/>
      <c r="X11" s="550"/>
      <c r="Y11" s="554"/>
      <c r="Z11" s="710"/>
    </row>
    <row r="12" spans="2:29" ht="184.5" customHeight="1" x14ac:dyDescent="0.3">
      <c r="B12" s="278" t="s">
        <v>248</v>
      </c>
      <c r="C12" s="286" t="s">
        <v>249</v>
      </c>
      <c r="D12" s="286" t="s">
        <v>250</v>
      </c>
      <c r="E12" s="296">
        <v>0.1</v>
      </c>
      <c r="F12" s="219">
        <v>0.05</v>
      </c>
      <c r="G12" s="130">
        <v>0.15</v>
      </c>
      <c r="H12" s="130">
        <v>0.1</v>
      </c>
      <c r="I12" s="131">
        <f>SUM(E12:H12)</f>
        <v>0.4</v>
      </c>
      <c r="J12" s="270" t="s">
        <v>245</v>
      </c>
      <c r="K12" s="270" t="s">
        <v>113</v>
      </c>
      <c r="L12" s="510"/>
      <c r="M12" s="499"/>
      <c r="N12" s="314" t="s">
        <v>251</v>
      </c>
      <c r="O12" s="180">
        <v>0.05</v>
      </c>
      <c r="P12" s="500"/>
      <c r="Q12" s="575"/>
      <c r="R12" s="512"/>
      <c r="S12" s="512"/>
      <c r="T12" s="512"/>
      <c r="U12" s="512"/>
      <c r="V12" s="363" t="s">
        <v>425</v>
      </c>
      <c r="W12" s="362" t="s">
        <v>426</v>
      </c>
      <c r="X12" s="550"/>
      <c r="Y12" s="555"/>
      <c r="Z12" s="710"/>
    </row>
    <row r="13" spans="2:29" x14ac:dyDescent="0.3">
      <c r="B13" s="523" t="s">
        <v>202</v>
      </c>
      <c r="C13" s="523"/>
      <c r="D13" s="523"/>
      <c r="E13" s="523"/>
      <c r="F13" s="523"/>
      <c r="G13" s="523"/>
      <c r="H13" s="523"/>
      <c r="I13" s="523"/>
      <c r="J13" s="523"/>
      <c r="K13" s="523"/>
      <c r="L13" s="523"/>
      <c r="M13" s="523"/>
      <c r="N13" s="523"/>
      <c r="O13" s="523"/>
      <c r="P13" s="523"/>
      <c r="Q13" s="523"/>
      <c r="R13" s="523"/>
      <c r="S13" s="523"/>
      <c r="T13" s="523"/>
      <c r="U13" s="523"/>
      <c r="V13" s="702"/>
      <c r="W13" s="703"/>
      <c r="X13" s="703"/>
      <c r="Y13" s="703"/>
      <c r="AA13" s="360"/>
      <c r="AB13" s="360"/>
      <c r="AC13" s="360"/>
    </row>
    <row r="14" spans="2:29" x14ac:dyDescent="0.3">
      <c r="B14" s="523" t="s">
        <v>203</v>
      </c>
      <c r="C14" s="523"/>
      <c r="D14" s="523"/>
      <c r="E14" s="523"/>
      <c r="F14" s="523"/>
      <c r="G14" s="523"/>
      <c r="H14" s="523"/>
      <c r="I14" s="523"/>
      <c r="J14" s="523"/>
      <c r="K14" s="523"/>
      <c r="L14" s="523"/>
      <c r="M14" s="523"/>
      <c r="N14" s="523"/>
      <c r="O14" s="523"/>
      <c r="P14" s="523"/>
      <c r="Q14" s="523"/>
      <c r="R14" s="523"/>
      <c r="S14" s="523"/>
      <c r="T14" s="523"/>
      <c r="U14" s="523"/>
      <c r="V14" s="702"/>
      <c r="W14" s="703"/>
      <c r="X14" s="703"/>
      <c r="Y14" s="703"/>
      <c r="AA14" s="360"/>
      <c r="AB14" s="360"/>
      <c r="AC14" s="360"/>
    </row>
    <row r="15" spans="2:29" x14ac:dyDescent="0.3">
      <c r="B15" s="523" t="s">
        <v>204</v>
      </c>
      <c r="C15" s="523"/>
      <c r="D15" s="523"/>
      <c r="E15" s="523"/>
      <c r="F15" s="523"/>
      <c r="G15" s="523"/>
      <c r="H15" s="523"/>
      <c r="I15" s="523"/>
      <c r="J15" s="523"/>
      <c r="K15" s="523"/>
      <c r="L15" s="523"/>
      <c r="M15" s="523"/>
      <c r="N15" s="523"/>
      <c r="O15" s="523"/>
      <c r="P15" s="523"/>
      <c r="Q15" s="523"/>
      <c r="R15" s="523"/>
      <c r="S15" s="523"/>
      <c r="T15" s="523"/>
      <c r="U15" s="523"/>
      <c r="V15" s="702"/>
      <c r="W15" s="703"/>
      <c r="X15" s="703"/>
      <c r="Y15" s="703"/>
      <c r="AA15" s="360"/>
      <c r="AB15" s="360"/>
      <c r="AC15" s="360"/>
    </row>
    <row r="16" spans="2:29" x14ac:dyDescent="0.3">
      <c r="B16" s="517" t="s">
        <v>3</v>
      </c>
      <c r="C16" s="517"/>
      <c r="D16" s="517"/>
      <c r="E16" s="517"/>
      <c r="F16" s="517"/>
      <c r="G16" s="517"/>
      <c r="H16" s="517"/>
      <c r="I16" s="517"/>
      <c r="J16" s="517"/>
      <c r="K16" s="135"/>
      <c r="L16" s="517" t="s">
        <v>72</v>
      </c>
      <c r="M16" s="517"/>
      <c r="N16" s="517"/>
      <c r="O16" s="517"/>
      <c r="P16" s="517"/>
      <c r="Q16" s="511" t="s">
        <v>4</v>
      </c>
      <c r="R16" s="511"/>
      <c r="S16" s="511"/>
      <c r="T16" s="511"/>
      <c r="U16" s="522" t="s">
        <v>40</v>
      </c>
      <c r="V16" s="702"/>
      <c r="W16" s="703"/>
      <c r="X16" s="703"/>
      <c r="Y16" s="703"/>
      <c r="AA16" s="360"/>
      <c r="AB16" s="360"/>
      <c r="AC16" s="360"/>
    </row>
    <row r="17" spans="2:30" ht="51" customHeight="1" x14ac:dyDescent="0.3">
      <c r="B17" s="274" t="s">
        <v>51</v>
      </c>
      <c r="C17" s="274" t="s">
        <v>12</v>
      </c>
      <c r="D17" s="274" t="s">
        <v>52</v>
      </c>
      <c r="E17" s="274" t="s">
        <v>24</v>
      </c>
      <c r="F17" s="274" t="s">
        <v>25</v>
      </c>
      <c r="G17" s="274" t="s">
        <v>26</v>
      </c>
      <c r="H17" s="274" t="s">
        <v>27</v>
      </c>
      <c r="I17" s="274" t="s">
        <v>28</v>
      </c>
      <c r="J17" s="274" t="s">
        <v>29</v>
      </c>
      <c r="K17" s="274" t="s">
        <v>47</v>
      </c>
      <c r="L17" s="280" t="s">
        <v>14</v>
      </c>
      <c r="M17" s="280" t="s">
        <v>31</v>
      </c>
      <c r="N17" s="280" t="s">
        <v>15</v>
      </c>
      <c r="O17" s="280" t="s">
        <v>16</v>
      </c>
      <c r="P17" s="136" t="s">
        <v>48</v>
      </c>
      <c r="Q17" s="280" t="s">
        <v>17</v>
      </c>
      <c r="R17" s="280" t="s">
        <v>18</v>
      </c>
      <c r="S17" s="280" t="s">
        <v>19</v>
      </c>
      <c r="T17" s="280" t="s">
        <v>361</v>
      </c>
      <c r="U17" s="522"/>
      <c r="V17" s="702"/>
      <c r="W17" s="703"/>
      <c r="X17" s="703"/>
      <c r="Y17" s="703"/>
      <c r="AA17" s="360"/>
      <c r="AB17" s="360"/>
      <c r="AC17" s="360"/>
    </row>
    <row r="18" spans="2:30" ht="52.5" customHeight="1" x14ac:dyDescent="0.3">
      <c r="B18" s="520" t="s">
        <v>252</v>
      </c>
      <c r="C18" s="270" t="s">
        <v>253</v>
      </c>
      <c r="D18" s="76" t="s">
        <v>254</v>
      </c>
      <c r="E18" s="82">
        <v>1</v>
      </c>
      <c r="F18" s="82">
        <v>1</v>
      </c>
      <c r="G18" s="271">
        <v>1</v>
      </c>
      <c r="H18" s="271">
        <v>1</v>
      </c>
      <c r="I18" s="273">
        <f>SUM(E18:H18)</f>
        <v>4</v>
      </c>
      <c r="J18" s="502" t="s">
        <v>245</v>
      </c>
      <c r="K18" s="502" t="s">
        <v>113</v>
      </c>
      <c r="L18" s="510">
        <v>2</v>
      </c>
      <c r="M18" s="502" t="s">
        <v>255</v>
      </c>
      <c r="N18" s="687" t="s">
        <v>241</v>
      </c>
      <c r="O18" s="690">
        <v>3</v>
      </c>
      <c r="P18" s="502" t="s">
        <v>247</v>
      </c>
      <c r="Q18" s="575">
        <f>R18+S18+T18</f>
        <v>751815040</v>
      </c>
      <c r="R18" s="692">
        <f>756000000-630000000-4184960</f>
        <v>121815040</v>
      </c>
      <c r="S18" s="693">
        <v>0</v>
      </c>
      <c r="T18" s="693">
        <v>630000000</v>
      </c>
      <c r="U18" s="586">
        <v>30000000</v>
      </c>
      <c r="V18" s="701" t="s">
        <v>420</v>
      </c>
      <c r="W18" s="550" t="s">
        <v>427</v>
      </c>
      <c r="X18" s="550" t="s">
        <v>428</v>
      </c>
      <c r="Y18" s="550" t="s">
        <v>455</v>
      </c>
      <c r="Z18" s="709" t="s">
        <v>452</v>
      </c>
      <c r="AC18" s="361"/>
    </row>
    <row r="19" spans="2:30" ht="231" customHeight="1" x14ac:dyDescent="0.3">
      <c r="B19" s="520"/>
      <c r="C19" s="270" t="s">
        <v>256</v>
      </c>
      <c r="D19" s="76" t="s">
        <v>257</v>
      </c>
      <c r="E19" s="82">
        <v>0</v>
      </c>
      <c r="F19" s="82">
        <v>0</v>
      </c>
      <c r="G19" s="271">
        <v>0</v>
      </c>
      <c r="H19" s="271">
        <v>1</v>
      </c>
      <c r="I19" s="273">
        <f>H19</f>
        <v>1</v>
      </c>
      <c r="J19" s="502"/>
      <c r="K19" s="502"/>
      <c r="L19" s="510"/>
      <c r="M19" s="502"/>
      <c r="N19" s="687"/>
      <c r="O19" s="691"/>
      <c r="P19" s="502"/>
      <c r="Q19" s="575"/>
      <c r="R19" s="692"/>
      <c r="S19" s="694"/>
      <c r="T19" s="694"/>
      <c r="U19" s="587"/>
      <c r="V19" s="701"/>
      <c r="W19" s="550"/>
      <c r="X19" s="550"/>
      <c r="Y19" s="550"/>
      <c r="Z19" s="710"/>
    </row>
    <row r="20" spans="2:30" x14ac:dyDescent="0.3">
      <c r="B20" s="132" t="s">
        <v>258</v>
      </c>
      <c r="C20" s="133"/>
      <c r="D20" s="133"/>
      <c r="E20" s="133"/>
      <c r="F20" s="134"/>
      <c r="G20" s="134"/>
      <c r="H20" s="134"/>
      <c r="I20" s="134"/>
      <c r="J20" s="134"/>
      <c r="K20" s="134"/>
      <c r="L20" s="134"/>
      <c r="M20" s="134"/>
      <c r="N20" s="134"/>
      <c r="O20" s="134"/>
      <c r="P20" s="134"/>
      <c r="Q20" s="134"/>
      <c r="R20" s="134"/>
      <c r="S20" s="134"/>
      <c r="T20" s="134"/>
      <c r="U20" s="134"/>
      <c r="V20" s="699"/>
      <c r="W20" s="700"/>
      <c r="X20" s="700"/>
      <c r="Y20" s="700"/>
    </row>
    <row r="21" spans="2:30" x14ac:dyDescent="0.3">
      <c r="B21" s="523" t="s">
        <v>259</v>
      </c>
      <c r="C21" s="523"/>
      <c r="D21" s="523"/>
      <c r="E21" s="523"/>
      <c r="F21" s="523"/>
      <c r="G21" s="523"/>
      <c r="H21" s="523"/>
      <c r="I21" s="523"/>
      <c r="J21" s="523"/>
      <c r="K21" s="523"/>
      <c r="L21" s="523"/>
      <c r="M21" s="523"/>
      <c r="N21" s="523"/>
      <c r="O21" s="523"/>
      <c r="P21" s="523"/>
      <c r="Q21" s="523"/>
      <c r="R21" s="523"/>
      <c r="S21" s="523"/>
      <c r="T21" s="523"/>
      <c r="U21" s="523"/>
      <c r="V21" s="699"/>
      <c r="W21" s="700"/>
      <c r="X21" s="700"/>
      <c r="Y21" s="700"/>
    </row>
    <row r="22" spans="2:30" ht="409.5" x14ac:dyDescent="0.3">
      <c r="B22" s="278" t="s">
        <v>260</v>
      </c>
      <c r="C22" s="269" t="s">
        <v>261</v>
      </c>
      <c r="D22" s="270" t="s">
        <v>262</v>
      </c>
      <c r="E22" s="271">
        <v>1</v>
      </c>
      <c r="F22" s="271">
        <v>1</v>
      </c>
      <c r="G22" s="271">
        <v>1</v>
      </c>
      <c r="H22" s="271">
        <v>1</v>
      </c>
      <c r="I22" s="273">
        <f>SUM(E22:H22)</f>
        <v>4</v>
      </c>
      <c r="J22" s="270" t="s">
        <v>245</v>
      </c>
      <c r="K22" s="270" t="s">
        <v>113</v>
      </c>
      <c r="L22" s="358">
        <v>3</v>
      </c>
      <c r="M22" s="270" t="s">
        <v>263</v>
      </c>
      <c r="N22" s="272" t="s">
        <v>241</v>
      </c>
      <c r="O22" s="279">
        <v>4</v>
      </c>
      <c r="P22" s="270" t="s">
        <v>264</v>
      </c>
      <c r="Q22" s="283">
        <f>R22+S22+T22</f>
        <v>865684960</v>
      </c>
      <c r="R22" s="275">
        <f>911500000-50000000+4184960</f>
        <v>865684960</v>
      </c>
      <c r="S22" s="275">
        <v>0</v>
      </c>
      <c r="T22" s="275">
        <v>0</v>
      </c>
      <c r="U22" s="275">
        <f>85489529-9184900+19184000</f>
        <v>95488629</v>
      </c>
      <c r="V22" s="363" t="s">
        <v>421</v>
      </c>
      <c r="W22" s="362" t="s">
        <v>453</v>
      </c>
      <c r="X22" s="362" t="s">
        <v>422</v>
      </c>
      <c r="Y22" s="362" t="s">
        <v>547</v>
      </c>
      <c r="Z22" s="374" t="s">
        <v>454</v>
      </c>
    </row>
    <row r="23" spans="2:30" x14ac:dyDescent="0.3">
      <c r="B23" s="523" t="s">
        <v>265</v>
      </c>
      <c r="C23" s="523"/>
      <c r="D23" s="523"/>
      <c r="E23" s="523"/>
      <c r="F23" s="523"/>
      <c r="G23" s="523"/>
      <c r="H23" s="523"/>
      <c r="I23" s="523"/>
      <c r="J23" s="523"/>
      <c r="K23" s="523"/>
      <c r="L23" s="523"/>
      <c r="M23" s="523"/>
      <c r="N23" s="523"/>
      <c r="O23" s="523"/>
      <c r="P23" s="523"/>
      <c r="Q23" s="523"/>
      <c r="R23" s="523"/>
      <c r="S23" s="523"/>
      <c r="T23" s="523"/>
      <c r="U23" s="523"/>
      <c r="V23" s="699"/>
      <c r="W23" s="700"/>
      <c r="X23" s="700"/>
      <c r="Y23" s="700"/>
      <c r="AA23" s="360"/>
      <c r="AB23" s="360"/>
      <c r="AC23" s="360"/>
    </row>
    <row r="24" spans="2:30" x14ac:dyDescent="0.3">
      <c r="B24" s="523" t="s">
        <v>154</v>
      </c>
      <c r="C24" s="523"/>
      <c r="D24" s="523"/>
      <c r="E24" s="523"/>
      <c r="F24" s="523"/>
      <c r="G24" s="523"/>
      <c r="H24" s="523"/>
      <c r="I24" s="523"/>
      <c r="J24" s="523"/>
      <c r="K24" s="523"/>
      <c r="L24" s="523"/>
      <c r="M24" s="523"/>
      <c r="N24" s="523"/>
      <c r="O24" s="523"/>
      <c r="P24" s="523"/>
      <c r="Q24" s="523"/>
      <c r="R24" s="523"/>
      <c r="S24" s="523"/>
      <c r="T24" s="523"/>
      <c r="U24" s="523"/>
      <c r="V24" s="699"/>
      <c r="W24" s="700"/>
      <c r="X24" s="700"/>
      <c r="Y24" s="700"/>
      <c r="AA24" s="360"/>
      <c r="AB24" s="360"/>
      <c r="AC24" s="360"/>
    </row>
    <row r="25" spans="2:30" x14ac:dyDescent="0.3">
      <c r="B25" s="523" t="s">
        <v>155</v>
      </c>
      <c r="C25" s="523"/>
      <c r="D25" s="523"/>
      <c r="E25" s="523"/>
      <c r="F25" s="523"/>
      <c r="G25" s="523"/>
      <c r="H25" s="523"/>
      <c r="I25" s="523"/>
      <c r="J25" s="523"/>
      <c r="K25" s="523"/>
      <c r="L25" s="523"/>
      <c r="M25" s="523"/>
      <c r="N25" s="523"/>
      <c r="O25" s="523"/>
      <c r="P25" s="523"/>
      <c r="Q25" s="523"/>
      <c r="R25" s="523"/>
      <c r="S25" s="523"/>
      <c r="T25" s="523"/>
      <c r="U25" s="523"/>
      <c r="V25" s="699"/>
      <c r="W25" s="700"/>
      <c r="X25" s="700"/>
      <c r="Y25" s="700"/>
      <c r="AA25" s="360"/>
      <c r="AB25" s="360"/>
      <c r="AC25" s="375"/>
    </row>
    <row r="26" spans="2:30" ht="235.5" customHeight="1" x14ac:dyDescent="0.3">
      <c r="B26" s="680" t="s">
        <v>156</v>
      </c>
      <c r="C26" s="683" t="s">
        <v>266</v>
      </c>
      <c r="D26" s="270" t="s">
        <v>267</v>
      </c>
      <c r="E26" s="82">
        <v>3</v>
      </c>
      <c r="F26" s="82">
        <v>3</v>
      </c>
      <c r="G26" s="82">
        <v>3</v>
      </c>
      <c r="H26" s="82">
        <v>3</v>
      </c>
      <c r="I26" s="273">
        <f>SUM(E26:H26)</f>
        <v>12</v>
      </c>
      <c r="J26" s="270" t="s">
        <v>245</v>
      </c>
      <c r="K26" s="492" t="s">
        <v>118</v>
      </c>
      <c r="L26" s="566">
        <v>4</v>
      </c>
      <c r="M26" s="492" t="s">
        <v>268</v>
      </c>
      <c r="N26" s="270" t="s">
        <v>241</v>
      </c>
      <c r="O26" s="137">
        <v>3</v>
      </c>
      <c r="P26" s="504" t="s">
        <v>269</v>
      </c>
      <c r="Q26" s="673">
        <f>R26+S26+T26</f>
        <v>771498590</v>
      </c>
      <c r="R26" s="590">
        <f>827500000-56001410-526001410</f>
        <v>245497180</v>
      </c>
      <c r="S26" s="590">
        <v>0</v>
      </c>
      <c r="T26" s="590">
        <v>526001410</v>
      </c>
      <c r="U26" s="590">
        <v>0</v>
      </c>
      <c r="V26" s="364" t="s">
        <v>429</v>
      </c>
      <c r="W26" s="362" t="s">
        <v>456</v>
      </c>
      <c r="X26" s="550" t="s">
        <v>588</v>
      </c>
      <c r="Y26" s="550" t="s">
        <v>474</v>
      </c>
      <c r="Z26" s="711" t="s">
        <v>475</v>
      </c>
    </row>
    <row r="27" spans="2:30" ht="71.25" customHeight="1" x14ac:dyDescent="0.3">
      <c r="B27" s="681"/>
      <c r="C27" s="684"/>
      <c r="D27" s="492" t="s">
        <v>270</v>
      </c>
      <c r="E27" s="666">
        <v>3</v>
      </c>
      <c r="F27" s="705">
        <v>0</v>
      </c>
      <c r="G27" s="666">
        <v>3</v>
      </c>
      <c r="H27" s="666">
        <v>2</v>
      </c>
      <c r="I27" s="566">
        <f>SUM(E27:H27)</f>
        <v>8</v>
      </c>
      <c r="J27" s="492" t="s">
        <v>245</v>
      </c>
      <c r="K27" s="493"/>
      <c r="L27" s="567"/>
      <c r="M27" s="493"/>
      <c r="N27" s="502" t="s">
        <v>271</v>
      </c>
      <c r="O27" s="704">
        <v>3</v>
      </c>
      <c r="P27" s="505"/>
      <c r="Q27" s="674"/>
      <c r="R27" s="669"/>
      <c r="S27" s="669"/>
      <c r="T27" s="669"/>
      <c r="U27" s="669"/>
      <c r="V27" s="701" t="s">
        <v>431</v>
      </c>
      <c r="W27" s="550" t="s">
        <v>433</v>
      </c>
      <c r="X27" s="550"/>
      <c r="Y27" s="550"/>
      <c r="Z27" s="712"/>
    </row>
    <row r="28" spans="2:30" ht="63" customHeight="1" x14ac:dyDescent="0.3">
      <c r="B28" s="681"/>
      <c r="C28" s="684"/>
      <c r="D28" s="493"/>
      <c r="E28" s="667"/>
      <c r="F28" s="706"/>
      <c r="G28" s="667"/>
      <c r="H28" s="667"/>
      <c r="I28" s="567"/>
      <c r="J28" s="493"/>
      <c r="K28" s="493"/>
      <c r="L28" s="567"/>
      <c r="M28" s="493"/>
      <c r="N28" s="502"/>
      <c r="O28" s="704"/>
      <c r="P28" s="505"/>
      <c r="Q28" s="674"/>
      <c r="R28" s="669"/>
      <c r="S28" s="669"/>
      <c r="T28" s="669"/>
      <c r="U28" s="669"/>
      <c r="V28" s="701"/>
      <c r="W28" s="550"/>
      <c r="X28" s="550"/>
      <c r="Y28" s="550"/>
      <c r="Z28" s="712"/>
    </row>
    <row r="29" spans="2:30" ht="134.25" customHeight="1" x14ac:dyDescent="0.3">
      <c r="B29" s="682"/>
      <c r="C29" s="685"/>
      <c r="D29" s="495"/>
      <c r="E29" s="668"/>
      <c r="F29" s="707"/>
      <c r="G29" s="668"/>
      <c r="H29" s="668"/>
      <c r="I29" s="571"/>
      <c r="J29" s="495"/>
      <c r="K29" s="495"/>
      <c r="L29" s="571"/>
      <c r="M29" s="495"/>
      <c r="N29" s="270" t="s">
        <v>357</v>
      </c>
      <c r="O29" s="350">
        <v>50</v>
      </c>
      <c r="P29" s="506"/>
      <c r="Q29" s="675"/>
      <c r="R29" s="591"/>
      <c r="S29" s="591"/>
      <c r="T29" s="591"/>
      <c r="U29" s="591"/>
      <c r="V29" s="363" t="s">
        <v>432</v>
      </c>
      <c r="W29" s="362" t="s">
        <v>430</v>
      </c>
      <c r="X29" s="550"/>
      <c r="Y29" s="550"/>
      <c r="Z29" s="712"/>
    </row>
    <row r="30" spans="2:30" x14ac:dyDescent="0.3">
      <c r="B30" s="503" t="s">
        <v>53</v>
      </c>
      <c r="C30" s="503"/>
      <c r="D30" s="503"/>
      <c r="E30" s="503"/>
      <c r="F30" s="503"/>
      <c r="G30" s="503"/>
      <c r="H30" s="503"/>
      <c r="I30" s="503"/>
      <c r="J30" s="503"/>
      <c r="K30" s="503"/>
      <c r="L30" s="503"/>
      <c r="M30" s="503"/>
      <c r="N30" s="503"/>
      <c r="O30" s="503"/>
      <c r="P30" s="503"/>
      <c r="Q30" s="138">
        <f>Q26+Q22+Q18+Q10</f>
        <v>5243998590</v>
      </c>
      <c r="R30" s="138">
        <f>R26+R22+R18+R10</f>
        <v>3743998590</v>
      </c>
      <c r="S30" s="175">
        <f>SUM(S10:S28)</f>
        <v>0</v>
      </c>
      <c r="T30" s="129">
        <f>SUM(T10:T28)</f>
        <v>1500000000</v>
      </c>
      <c r="U30" s="129">
        <f>SUM(U10:U28)</f>
        <v>125488629</v>
      </c>
      <c r="V30" s="699"/>
      <c r="W30" s="700"/>
      <c r="X30" s="700"/>
      <c r="Y30" s="700"/>
      <c r="AA30" s="360"/>
      <c r="AB30" s="375"/>
      <c r="AC30" s="360"/>
      <c r="AD30" s="360"/>
    </row>
    <row r="31" spans="2:30" ht="81.75" customHeight="1" x14ac:dyDescent="0.3">
      <c r="B31" s="698" t="s">
        <v>486</v>
      </c>
      <c r="C31" s="698"/>
      <c r="D31" s="698"/>
      <c r="E31" s="698"/>
      <c r="F31" s="698"/>
      <c r="G31" s="698"/>
      <c r="H31" s="698"/>
      <c r="I31" s="698"/>
      <c r="J31" s="698"/>
      <c r="K31" s="698"/>
      <c r="L31" s="698"/>
      <c r="M31" s="698"/>
      <c r="N31" s="698"/>
      <c r="O31" s="698"/>
      <c r="P31" s="698"/>
      <c r="Q31" s="698"/>
      <c r="R31" s="698"/>
      <c r="S31" s="698"/>
      <c r="T31" s="698"/>
      <c r="U31" s="698"/>
      <c r="V31" s="698"/>
      <c r="W31" s="698"/>
      <c r="X31" s="698"/>
      <c r="Y31" s="698"/>
      <c r="AA31" s="360"/>
      <c r="AB31" s="360"/>
      <c r="AC31" s="360"/>
      <c r="AD31" s="360"/>
    </row>
    <row r="32" spans="2:30" ht="55.5" customHeight="1" x14ac:dyDescent="0.3">
      <c r="B32" s="297" t="s">
        <v>393</v>
      </c>
      <c r="U32" s="315" t="s">
        <v>396</v>
      </c>
      <c r="AC32" s="376"/>
    </row>
    <row r="33" spans="2:2" x14ac:dyDescent="0.3">
      <c r="B33" s="310" t="s">
        <v>395</v>
      </c>
    </row>
  </sheetData>
  <mergeCells count="97">
    <mergeCell ref="Z10:Z12"/>
    <mergeCell ref="Z18:Z19"/>
    <mergeCell ref="Z26:Z29"/>
    <mergeCell ref="B7:U7"/>
    <mergeCell ref="X10:X12"/>
    <mergeCell ref="Y10:Y12"/>
    <mergeCell ref="V10:V11"/>
    <mergeCell ref="B8:J8"/>
    <mergeCell ref="L8:P8"/>
    <mergeCell ref="Q8:T8"/>
    <mergeCell ref="U8:U9"/>
    <mergeCell ref="B10:B11"/>
    <mergeCell ref="C10:C11"/>
    <mergeCell ref="D10:D11"/>
    <mergeCell ref="E10:E11"/>
    <mergeCell ref="F10:F11"/>
    <mergeCell ref="G10:G11"/>
    <mergeCell ref="T10:T12"/>
    <mergeCell ref="W7:Y7"/>
    <mergeCell ref="R2:U2"/>
    <mergeCell ref="L3:U3"/>
    <mergeCell ref="L4:U4"/>
    <mergeCell ref="B5:U5"/>
    <mergeCell ref="B6:U6"/>
    <mergeCell ref="S10:S12"/>
    <mergeCell ref="H10:H11"/>
    <mergeCell ref="I10:I11"/>
    <mergeCell ref="J10:J11"/>
    <mergeCell ref="K10:K11"/>
    <mergeCell ref="L10:L12"/>
    <mergeCell ref="M10:M12"/>
    <mergeCell ref="N10:N11"/>
    <mergeCell ref="O10:O11"/>
    <mergeCell ref="P10:P12"/>
    <mergeCell ref="Q10:Q12"/>
    <mergeCell ref="R10:R12"/>
    <mergeCell ref="U10:U12"/>
    <mergeCell ref="B13:U13"/>
    <mergeCell ref="B14:U14"/>
    <mergeCell ref="B15:U15"/>
    <mergeCell ref="S18:S19"/>
    <mergeCell ref="T18:T19"/>
    <mergeCell ref="B18:B19"/>
    <mergeCell ref="J18:J19"/>
    <mergeCell ref="K18:K19"/>
    <mergeCell ref="L18:L19"/>
    <mergeCell ref="M18:M19"/>
    <mergeCell ref="N18:N19"/>
    <mergeCell ref="B16:J16"/>
    <mergeCell ref="L16:P16"/>
    <mergeCell ref="Q16:T16"/>
    <mergeCell ref="U16:U17"/>
    <mergeCell ref="U18:U19"/>
    <mergeCell ref="B21:U21"/>
    <mergeCell ref="V13:Y17"/>
    <mergeCell ref="N27:N28"/>
    <mergeCell ref="O27:O28"/>
    <mergeCell ref="I27:I29"/>
    <mergeCell ref="P26:P29"/>
    <mergeCell ref="Q26:Q29"/>
    <mergeCell ref="R26:R29"/>
    <mergeCell ref="S26:S29"/>
    <mergeCell ref="D27:D29"/>
    <mergeCell ref="E27:E29"/>
    <mergeCell ref="F27:F29"/>
    <mergeCell ref="G27:G29"/>
    <mergeCell ref="H27:H29"/>
    <mergeCell ref="R18:R19"/>
    <mergeCell ref="V20:Y21"/>
    <mergeCell ref="J27:J29"/>
    <mergeCell ref="B30:P30"/>
    <mergeCell ref="B23:U23"/>
    <mergeCell ref="B24:U24"/>
    <mergeCell ref="B25:U25"/>
    <mergeCell ref="B26:B29"/>
    <mergeCell ref="C26:C29"/>
    <mergeCell ref="K26:K29"/>
    <mergeCell ref="L26:L29"/>
    <mergeCell ref="M26:M29"/>
    <mergeCell ref="T26:T29"/>
    <mergeCell ref="U26:U29"/>
    <mergeCell ref="Y8:Y9"/>
    <mergeCell ref="W8:X8"/>
    <mergeCell ref="B31:Y31"/>
    <mergeCell ref="V30:Y30"/>
    <mergeCell ref="V23:Y25"/>
    <mergeCell ref="W18:W19"/>
    <mergeCell ref="X18:X19"/>
    <mergeCell ref="Y18:Y19"/>
    <mergeCell ref="W27:W28"/>
    <mergeCell ref="X26:X29"/>
    <mergeCell ref="Y26:Y29"/>
    <mergeCell ref="O18:O19"/>
    <mergeCell ref="P18:P19"/>
    <mergeCell ref="Q18:Q19"/>
    <mergeCell ref="V18:V19"/>
    <mergeCell ref="V27:V28"/>
  </mergeCells>
  <conditionalFormatting sqref="E26:H26 E27">
    <cfRule type="expression" dxfId="55" priority="14" stopIfTrue="1">
      <formula>+IF((#REF!+#REF!+#REF!+#REF!+#REF!)&lt;&gt;$L26,1,0)</formula>
    </cfRule>
  </conditionalFormatting>
  <conditionalFormatting sqref="C12">
    <cfRule type="expression" dxfId="54" priority="13" stopIfTrue="1">
      <formula>+IF((#REF!+#REF!+#REF!+#REF!+#REF!)&lt;&gt;$M12,1,0)</formula>
    </cfRule>
  </conditionalFormatting>
  <conditionalFormatting sqref="D12">
    <cfRule type="expression" dxfId="53" priority="12" stopIfTrue="1">
      <formula>+IF((#REF!+#REF!+#REF!+#REF!+#REF!)&lt;&gt;$M12,1,0)</formula>
    </cfRule>
  </conditionalFormatting>
  <conditionalFormatting sqref="C12">
    <cfRule type="expression" dxfId="52" priority="11" stopIfTrue="1">
      <formula>+IF((#REF!+#REF!+#REF!+#REF!+#REF!)&lt;&gt;$M12,1,0)</formula>
    </cfRule>
  </conditionalFormatting>
  <conditionalFormatting sqref="D12">
    <cfRule type="expression" dxfId="51" priority="10" stopIfTrue="1">
      <formula>+IF((#REF!+#REF!+#REF!+#REF!+#REF!)&lt;&gt;$M12,1,0)</formula>
    </cfRule>
  </conditionalFormatting>
  <conditionalFormatting sqref="E22">
    <cfRule type="expression" dxfId="50" priority="9" stopIfTrue="1">
      <formula>+IF((#REF!+#REF!+#REF!+#REF!+#REF!)&lt;&gt;$L22,1,0)</formula>
    </cfRule>
  </conditionalFormatting>
  <conditionalFormatting sqref="F22:G22">
    <cfRule type="expression" dxfId="49" priority="8" stopIfTrue="1">
      <formula>+IF((#REF!+#REF!+#REF!+#REF!+#REF!)&lt;&gt;$L22,1,0)</formula>
    </cfRule>
  </conditionalFormatting>
  <conditionalFormatting sqref="C11">
    <cfRule type="expression" dxfId="48" priority="15" stopIfTrue="1">
      <formula>+IF((#REF!+#REF!+#REF!+#REF!+#REF!)&lt;&gt;$M10,1,0)</formula>
    </cfRule>
  </conditionalFormatting>
  <conditionalFormatting sqref="C10">
    <cfRule type="expression" dxfId="47" priority="16" stopIfTrue="1">
      <formula>+IF((#REF!+#REF!+#REF!+#REF!+#REF!)&lt;&gt;#REF!,1,0)</formula>
    </cfRule>
  </conditionalFormatting>
  <conditionalFormatting sqref="C11">
    <cfRule type="expression" dxfId="46" priority="17" stopIfTrue="1">
      <formula>+IF((#REF!+#REF!+#REF!+#REF!+#REF!)&lt;&gt;$N10,1,0)</formula>
    </cfRule>
  </conditionalFormatting>
  <conditionalFormatting sqref="C11">
    <cfRule type="expression" dxfId="45" priority="18" stopIfTrue="1">
      <formula>+IF((#REF!+#REF!+#REF!+#REF!+#REF!)&lt;&gt;$N10,1,0)</formula>
    </cfRule>
  </conditionalFormatting>
  <conditionalFormatting sqref="F27:H27">
    <cfRule type="expression" dxfId="44" priority="7" stopIfTrue="1">
      <formula>+IF((#REF!+#REF!+#REF!+#REF!+#REF!)&lt;&gt;$L27,1,0)</formula>
    </cfRule>
  </conditionalFormatting>
  <conditionalFormatting sqref="D10">
    <cfRule type="expression" dxfId="43" priority="6" stopIfTrue="1">
      <formula>+IF((#REF!+#REF!+#REF!+#REF!+#REF!)&lt;&gt;$M10,1,0)</formula>
    </cfRule>
  </conditionalFormatting>
  <conditionalFormatting sqref="D10">
    <cfRule type="expression" dxfId="42" priority="5" stopIfTrue="1">
      <formula>+IF((#REF!+#REF!+#REF!+#REF!+#REF!)&lt;&gt;$M10,1,0)</formula>
    </cfRule>
  </conditionalFormatting>
  <conditionalFormatting sqref="E12:H12">
    <cfRule type="expression" dxfId="41" priority="4" stopIfTrue="1">
      <formula>+IF((#REF!+#REF!+#REF!+#REF!+#REF!)&lt;&gt;$L12,1,0)</formula>
    </cfRule>
  </conditionalFormatting>
  <conditionalFormatting sqref="E12:H12">
    <cfRule type="expression" dxfId="40" priority="3" stopIfTrue="1">
      <formula>+IF((#REF!+#REF!+#REF!+#REF!+#REF!)&lt;&gt;$L12,1,0)</formula>
    </cfRule>
  </conditionalFormatting>
  <conditionalFormatting sqref="D22">
    <cfRule type="expression" dxfId="39" priority="2" stopIfTrue="1">
      <formula>+IF((#REF!+#REF!+#REF!+#REF!+#REF!)&lt;&gt;$M22,1,0)</formula>
    </cfRule>
  </conditionalFormatting>
  <conditionalFormatting sqref="O22">
    <cfRule type="expression" dxfId="38" priority="1" stopIfTrue="1">
      <formula>+IF((#REF!+#REF!+#REF!+#REF!+#REF!)&lt;&gt;$L22,1,0)</formula>
    </cfRule>
  </conditionalFormatting>
  <dataValidations count="4">
    <dataValidation type="list" allowBlank="1" showInputMessage="1" showErrorMessage="1" sqref="J10 J26:J27 J12 J22">
      <formula1>$U$40:$U$48</formula1>
    </dataValidation>
    <dataValidation type="list" allowBlank="1" showInputMessage="1" showErrorMessage="1" sqref="K10 K18 K26 K22 K12">
      <formula1>$I$34:$I$38</formula1>
    </dataValidation>
    <dataValidation type="list" allowBlank="1" showInputMessage="1" showErrorMessage="1" sqref="J18">
      <formula1>$U$39:$U$47</formula1>
    </dataValidation>
    <dataValidation type="list" allowBlank="1" showInputMessage="1" showErrorMessage="1" sqref="P26 P18 P10 P22">
      <formula1>$Q$32:$Q$56</formula1>
    </dataValidation>
  </dataValidations>
  <pageMargins left="0.7" right="0.7" top="0.75" bottom="0.75" header="0.3" footer="0.3"/>
  <pageSetup orientation="portrait"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3</vt:i4>
      </vt:variant>
    </vt:vector>
  </HeadingPairs>
  <TitlesOfParts>
    <vt:vector size="22" baseType="lpstr">
      <vt:lpstr>PRESUPUESTO POA 2016</vt:lpstr>
      <vt:lpstr>METEOROLOGÍA</vt:lpstr>
      <vt:lpstr> Sgmto OCI Jun</vt:lpstr>
      <vt:lpstr>HIDROLOGÍA</vt:lpstr>
      <vt:lpstr>Sgmnto OCIJun</vt:lpstr>
      <vt:lpstr>ESTUDIOS AMBIENTALES</vt:lpstr>
      <vt:lpstr>Sgmnto OCI EST AMB</vt:lpstr>
      <vt:lpstr>ECOSISTEMAS</vt:lpstr>
      <vt:lpstr>Sgmnto OCI ECOS</vt:lpstr>
      <vt:lpstr>REDES</vt:lpstr>
      <vt:lpstr>Sgmnto OCI REDES</vt:lpstr>
      <vt:lpstr>INFORMÁTICA</vt:lpstr>
      <vt:lpstr>Sgmnto OCI INFOR</vt:lpstr>
      <vt:lpstr>PRONÓSTICOS</vt:lpstr>
      <vt:lpstr>Sgmnto OCI PRON</vt:lpstr>
      <vt:lpstr>SECRETARÍA GENERAL</vt:lpstr>
      <vt:lpstr>Sgmnto OCI SGRAL</vt:lpstr>
      <vt:lpstr>PLANEACIÓN</vt:lpstr>
      <vt:lpstr>Sgmnto OCI PLAN</vt:lpstr>
      <vt:lpstr>' Sgmto OCI Jun'!Área_de_impresión</vt:lpstr>
      <vt:lpstr>'ESTUDIOS AMBIENTALES'!Área_de_impresión</vt:lpstr>
      <vt:lpstr>'Sgmnto OCI EST AMB'!Área_de_impresión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Celmira Perez Fernandez;jlobo</dc:creator>
  <cp:lastModifiedBy>Jaime Hernando Arias Patino</cp:lastModifiedBy>
  <cp:lastPrinted>2016-09-05T20:31:53Z</cp:lastPrinted>
  <dcterms:created xsi:type="dcterms:W3CDTF">2014-11-14T17:12:42Z</dcterms:created>
  <dcterms:modified xsi:type="dcterms:W3CDTF">2016-10-25T15:58:51Z</dcterms:modified>
</cp:coreProperties>
</file>