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aime\Plan Operativo Anual 2016\Segmnto POA a 30JUN 2016\Inf final\3.Sub Meteorología\"/>
    </mc:Choice>
  </mc:AlternateContent>
  <bookViews>
    <workbookView xWindow="0" yWindow="0" windowWidth="19200" windowHeight="10335" firstSheet="1" activeTab="2"/>
  </bookViews>
  <sheets>
    <sheet name="PRESUPUESTO POA 2016" sheetId="24" r:id="rId1"/>
    <sheet name="METEOROLOGÍA" sheetId="18" r:id="rId2"/>
    <sheet name=" Sgmto OCI Jun" sheetId="26" r:id="rId3"/>
    <sheet name="HIDROLOGÍA" sheetId="16" state="hidden" r:id="rId4"/>
    <sheet name="Sgmnto OCIJun" sheetId="27" state="hidden" r:id="rId5"/>
    <sheet name="ESTUDIOS AMBIENTALES" sheetId="15" state="hidden" r:id="rId6"/>
    <sheet name="Sgmnto OCI EST AMB" sheetId="30" state="hidden" r:id="rId7"/>
    <sheet name="ECOSISTEMAS" sheetId="17" state="hidden" r:id="rId8"/>
    <sheet name="Sgmnto OCI ECOS" sheetId="31" state="hidden" r:id="rId9"/>
    <sheet name="REDES" sheetId="19" state="hidden" r:id="rId10"/>
    <sheet name="Sgmnto OCI REDES" sheetId="32" state="hidden" r:id="rId11"/>
    <sheet name="INFORMÁTICA" sheetId="21" state="hidden" r:id="rId12"/>
    <sheet name="Sgmnto OCI INFOR" sheetId="33" state="hidden" r:id="rId13"/>
    <sheet name="PRONÓSTICOS" sheetId="20" state="hidden" r:id="rId14"/>
    <sheet name="Sgmnto OCI PRON" sheetId="34" state="hidden" r:id="rId15"/>
    <sheet name="SECRETARÍA GENERAL" sheetId="23" state="hidden" r:id="rId16"/>
    <sheet name="Sgmnto OCI SGRAL" sheetId="35" state="hidden" r:id="rId17"/>
    <sheet name="PLANEACIÓN" sheetId="22" state="hidden" r:id="rId18"/>
    <sheet name="Sgmnto OCI PLAN" sheetId="36" state="hidden" r:id="rId19"/>
  </sheets>
  <externalReferences>
    <externalReference r:id="rId20"/>
  </externalReferences>
  <definedNames>
    <definedName name="_xlnm.Print_Area" localSheetId="2">' Sgmto OCI Jun'!$A$1:$X$70</definedName>
    <definedName name="_xlnm.Print_Area" localSheetId="5">'ESTUDIOS AMBIENTALES'!$I$2:$AC$45</definedName>
    <definedName name="_xlnm.Print_Area" localSheetId="6">'Sgmnto OCI EST AMB'!$I$2:$AC$45</definedName>
    <definedName name="Tipos_de_proceso_de_seleccion">'[1]3. DETALLE PLAN DE CONTRATACION'!$L$493:$L$502</definedName>
  </definedNames>
  <calcPr calcId="152511"/>
</workbook>
</file>

<file path=xl/calcChain.xml><?xml version="1.0" encoding="utf-8"?>
<calcChain xmlns="http://schemas.openxmlformats.org/spreadsheetml/2006/main">
  <c r="T14" i="36" l="1"/>
  <c r="S14" i="36"/>
  <c r="R14" i="36"/>
  <c r="I13" i="36"/>
  <c r="Q12" i="36"/>
  <c r="U11" i="36"/>
  <c r="U14" i="36" s="1"/>
  <c r="R11" i="36"/>
  <c r="Q11" i="36"/>
  <c r="Q14" i="36" s="1"/>
  <c r="I11" i="36"/>
  <c r="T22" i="35"/>
  <c r="S22" i="35"/>
  <c r="U20" i="35"/>
  <c r="U22" i="35" s="1"/>
  <c r="Q20" i="35"/>
  <c r="I19" i="35"/>
  <c r="I18" i="35"/>
  <c r="Q15" i="35"/>
  <c r="I15" i="35"/>
  <c r="I12" i="35"/>
  <c r="I11" i="35"/>
  <c r="R10" i="35"/>
  <c r="Q10" i="35" s="1"/>
  <c r="I10" i="35"/>
  <c r="I9" i="35"/>
  <c r="R8" i="35"/>
  <c r="Q8" i="35" s="1"/>
  <c r="I8" i="35"/>
  <c r="U15" i="34"/>
  <c r="T15" i="34"/>
  <c r="S15" i="34"/>
  <c r="Q14" i="34"/>
  <c r="I14" i="34"/>
  <c r="U12" i="34"/>
  <c r="Q12" i="34"/>
  <c r="O12" i="34"/>
  <c r="H12" i="34"/>
  <c r="G12" i="34"/>
  <c r="F12" i="34"/>
  <c r="E12" i="34"/>
  <c r="R11" i="34"/>
  <c r="Q11" i="34" s="1"/>
  <c r="I11" i="34"/>
  <c r="Q10" i="34"/>
  <c r="O10" i="34"/>
  <c r="H10" i="34"/>
  <c r="G10" i="34"/>
  <c r="F10" i="34"/>
  <c r="E10" i="34"/>
  <c r="Q9" i="34"/>
  <c r="I9" i="34"/>
  <c r="T15" i="33"/>
  <c r="S15" i="33"/>
  <c r="R14" i="33"/>
  <c r="Q14" i="33" s="1"/>
  <c r="I14" i="33"/>
  <c r="Q13" i="33"/>
  <c r="I13" i="33"/>
  <c r="U12" i="33"/>
  <c r="U15" i="33" s="1"/>
  <c r="R12" i="33"/>
  <c r="Q12" i="33"/>
  <c r="Q11" i="33"/>
  <c r="I11" i="33"/>
  <c r="R10" i="33"/>
  <c r="Q10" i="33" s="1"/>
  <c r="I10" i="33"/>
  <c r="U16" i="32"/>
  <c r="T16" i="32"/>
  <c r="S16" i="32"/>
  <c r="Q15" i="32"/>
  <c r="Q14" i="32"/>
  <c r="I14" i="32"/>
  <c r="Q13" i="32"/>
  <c r="I13" i="32"/>
  <c r="Q12" i="32"/>
  <c r="I12" i="32"/>
  <c r="R11" i="32"/>
  <c r="R16" i="32" s="1"/>
  <c r="Q9" i="32"/>
  <c r="I9" i="32"/>
  <c r="T30" i="31"/>
  <c r="S30" i="31"/>
  <c r="I27" i="31"/>
  <c r="R26" i="31"/>
  <c r="Q26" i="31"/>
  <c r="I26" i="31"/>
  <c r="U22" i="31"/>
  <c r="U30" i="31" s="1"/>
  <c r="R22" i="31"/>
  <c r="Q22" i="31" s="1"/>
  <c r="I22" i="31"/>
  <c r="I19" i="31"/>
  <c r="R18" i="31"/>
  <c r="Q18" i="31" s="1"/>
  <c r="I18" i="31"/>
  <c r="I12" i="31"/>
  <c r="R10" i="31"/>
  <c r="Q10" i="31" s="1"/>
  <c r="I10" i="31"/>
  <c r="AC45" i="30"/>
  <c r="AB45" i="30"/>
  <c r="AA45" i="30"/>
  <c r="X44" i="30"/>
  <c r="P44" i="30"/>
  <c r="X43" i="30"/>
  <c r="P43" i="30"/>
  <c r="Z36" i="30"/>
  <c r="Z45" i="30" s="1"/>
  <c r="Y36" i="30"/>
  <c r="X36" i="30"/>
  <c r="V36" i="30"/>
  <c r="P36" i="30"/>
  <c r="X32" i="30"/>
  <c r="P32" i="30"/>
  <c r="Y31" i="30"/>
  <c r="X31" i="30" s="1"/>
  <c r="X25" i="30"/>
  <c r="X19" i="30"/>
  <c r="Y18" i="30"/>
  <c r="Y45" i="30" s="1"/>
  <c r="X17" i="30"/>
  <c r="X16" i="30"/>
  <c r="Y15" i="30"/>
  <c r="X15" i="30"/>
  <c r="P15" i="30"/>
  <c r="X11" i="30"/>
  <c r="P11" i="30"/>
  <c r="R15" i="33" l="1"/>
  <c r="X45" i="30"/>
  <c r="X18" i="30"/>
  <c r="I10" i="34"/>
  <c r="Q15" i="33"/>
  <c r="R22" i="35"/>
  <c r="R15" i="34"/>
  <c r="Q15" i="34" s="1"/>
  <c r="I12" i="34"/>
  <c r="Q11" i="32"/>
  <c r="Q16" i="32" s="1"/>
  <c r="Q30" i="31"/>
  <c r="R30" i="31"/>
  <c r="Q22" i="35"/>
  <c r="S13" i="24" l="1"/>
  <c r="K27" i="24"/>
  <c r="I27" i="24"/>
  <c r="J27" i="24"/>
  <c r="K24" i="24"/>
  <c r="I24" i="24"/>
  <c r="K21" i="24"/>
  <c r="J21" i="24"/>
  <c r="I21" i="24"/>
  <c r="S9" i="24"/>
  <c r="S8" i="24"/>
  <c r="S35" i="27" l="1"/>
  <c r="Q34" i="27"/>
  <c r="I34" i="27"/>
  <c r="I33" i="27"/>
  <c r="R32" i="27"/>
  <c r="I32" i="27"/>
  <c r="R27" i="27"/>
  <c r="Q27" i="27"/>
  <c r="I26" i="27"/>
  <c r="I25" i="27"/>
  <c r="I24" i="27"/>
  <c r="R23" i="27"/>
  <c r="Q23" i="27" s="1"/>
  <c r="I23" i="27"/>
  <c r="I21" i="27"/>
  <c r="U20" i="27"/>
  <c r="R20" i="27"/>
  <c r="Q20" i="27" s="1"/>
  <c r="I20" i="27"/>
  <c r="Q19" i="27"/>
  <c r="I19" i="27"/>
  <c r="U18" i="27"/>
  <c r="Q18" i="27"/>
  <c r="R17" i="27"/>
  <c r="Q17" i="27" s="1"/>
  <c r="I17" i="27"/>
  <c r="I16" i="27"/>
  <c r="U15" i="27"/>
  <c r="T15" i="27"/>
  <c r="T35" i="27" s="1"/>
  <c r="R15" i="27"/>
  <c r="Q14" i="27"/>
  <c r="I14" i="27"/>
  <c r="Q12" i="27"/>
  <c r="I12" i="27"/>
  <c r="U35" i="27" l="1"/>
  <c r="R35" i="27"/>
  <c r="Q35" i="27" s="1"/>
  <c r="Q15" i="27"/>
  <c r="T67" i="26"/>
  <c r="S67" i="26"/>
  <c r="U32" i="26"/>
  <c r="R32" i="26"/>
  <c r="Q32" i="26" s="1"/>
  <c r="Q27" i="26"/>
  <c r="I27" i="26"/>
  <c r="I21" i="26"/>
  <c r="Q20" i="26"/>
  <c r="I20" i="26"/>
  <c r="U19" i="26"/>
  <c r="Q19" i="26"/>
  <c r="O19" i="26"/>
  <c r="Q18" i="26"/>
  <c r="I18" i="26"/>
  <c r="Q12" i="26"/>
  <c r="R11" i="26"/>
  <c r="Q11" i="26" s="1"/>
  <c r="I11" i="26"/>
  <c r="R67" i="26" l="1"/>
  <c r="U67" i="26"/>
  <c r="Q67" i="26"/>
  <c r="R9" i="18"/>
  <c r="Q9" i="18" s="1"/>
  <c r="I9" i="19"/>
  <c r="Q9" i="19"/>
  <c r="R16" i="16"/>
  <c r="Q16" i="16" s="1"/>
  <c r="R31" i="16"/>
  <c r="R10" i="23"/>
  <c r="Q10" i="23" s="1"/>
  <c r="R8" i="23"/>
  <c r="Q8" i="23" s="1"/>
  <c r="R14" i="21"/>
  <c r="R12" i="21"/>
  <c r="Y36" i="15"/>
  <c r="X36" i="15" s="1"/>
  <c r="Y18" i="15"/>
  <c r="X18" i="15" s="1"/>
  <c r="U20" i="23"/>
  <c r="U22" i="23" s="1"/>
  <c r="O12" i="24" s="1"/>
  <c r="R22" i="17"/>
  <c r="R18" i="17"/>
  <c r="Q18" i="17" s="1"/>
  <c r="U22" i="17"/>
  <c r="T14" i="16"/>
  <c r="R19" i="16"/>
  <c r="Q19" i="16"/>
  <c r="R26" i="16"/>
  <c r="R34" i="16" s="1"/>
  <c r="R14" i="16"/>
  <c r="U12" i="21"/>
  <c r="U15" i="21" s="1"/>
  <c r="O10" i="24" s="1"/>
  <c r="U19" i="16"/>
  <c r="U12" i="20"/>
  <c r="U15" i="20" s="1"/>
  <c r="O11" i="24" s="1"/>
  <c r="U11" i="22"/>
  <c r="U14" i="22" s="1"/>
  <c r="O13" i="24" s="1"/>
  <c r="R11" i="19"/>
  <c r="R16" i="19" s="1"/>
  <c r="J9" i="24" s="1"/>
  <c r="I13" i="16"/>
  <c r="T65" i="18"/>
  <c r="U30" i="18"/>
  <c r="U17" i="16"/>
  <c r="U17" i="18"/>
  <c r="U65" i="18"/>
  <c r="O5" i="24" s="1"/>
  <c r="R22" i="16"/>
  <c r="Q22" i="16" s="1"/>
  <c r="R11" i="22"/>
  <c r="R14" i="22"/>
  <c r="J13" i="24"/>
  <c r="Z36" i="15"/>
  <c r="R30" i="18"/>
  <c r="Q30" i="18" s="1"/>
  <c r="Q11" i="16"/>
  <c r="R26" i="17"/>
  <c r="Q26" i="17" s="1"/>
  <c r="Q30" i="17" s="1"/>
  <c r="M8" i="24" s="1"/>
  <c r="R10" i="17"/>
  <c r="Y15" i="15"/>
  <c r="X15" i="15"/>
  <c r="R10" i="21"/>
  <c r="M15" i="24"/>
  <c r="L5" i="24"/>
  <c r="T14" i="22"/>
  <c r="S14" i="22"/>
  <c r="K13" i="24" s="1"/>
  <c r="T15" i="20"/>
  <c r="L11" i="24" s="1"/>
  <c r="S15" i="20"/>
  <c r="U16" i="19"/>
  <c r="O9" i="24"/>
  <c r="T16" i="19"/>
  <c r="L9" i="24"/>
  <c r="S16" i="19"/>
  <c r="K9" i="24"/>
  <c r="T34" i="16"/>
  <c r="L6" i="24" s="1"/>
  <c r="S34" i="16"/>
  <c r="AA45" i="15"/>
  <c r="L7" i="24" s="1"/>
  <c r="O23" i="24"/>
  <c r="O24" i="24"/>
  <c r="O25" i="24" s="1"/>
  <c r="L27" i="24"/>
  <c r="R11" i="20"/>
  <c r="R15" i="20" s="1"/>
  <c r="U14" i="16"/>
  <c r="U34" i="16"/>
  <c r="O6" i="24" s="1"/>
  <c r="Q20" i="23"/>
  <c r="Q12" i="22"/>
  <c r="Q14" i="20"/>
  <c r="Q12" i="20"/>
  <c r="Q11" i="20"/>
  <c r="Q10" i="20"/>
  <c r="Q9" i="20"/>
  <c r="Q15" i="19"/>
  <c r="Q12" i="19"/>
  <c r="Q14" i="16"/>
  <c r="Q17" i="16"/>
  <c r="Q18" i="16"/>
  <c r="Q33" i="16"/>
  <c r="Z45" i="15"/>
  <c r="K7" i="24" s="1"/>
  <c r="X44" i="15"/>
  <c r="X43" i="15"/>
  <c r="X32" i="15"/>
  <c r="X25" i="15"/>
  <c r="X19" i="15"/>
  <c r="X17" i="15"/>
  <c r="X16" i="15"/>
  <c r="AC45" i="15"/>
  <c r="O7" i="24" s="1"/>
  <c r="Y31" i="15"/>
  <c r="L25" i="24"/>
  <c r="T22" i="23"/>
  <c r="L12" i="24" s="1"/>
  <c r="S22" i="23"/>
  <c r="K12" i="24" s="1"/>
  <c r="I19" i="23"/>
  <c r="I18" i="23"/>
  <c r="Q15" i="23"/>
  <c r="I15" i="23"/>
  <c r="I12" i="23"/>
  <c r="I11" i="23"/>
  <c r="I10" i="23"/>
  <c r="I9" i="23"/>
  <c r="I8" i="23"/>
  <c r="L13" i="24"/>
  <c r="I13" i="22"/>
  <c r="I11" i="22"/>
  <c r="T15" i="21"/>
  <c r="L10" i="24"/>
  <c r="S15" i="21"/>
  <c r="K10" i="24"/>
  <c r="R15" i="21"/>
  <c r="J10" i="24" s="1"/>
  <c r="Q14" i="21"/>
  <c r="Q13" i="21"/>
  <c r="Q12" i="21"/>
  <c r="Q11" i="21"/>
  <c r="Q15" i="21" s="1"/>
  <c r="M10" i="24" s="1"/>
  <c r="Q10" i="21"/>
  <c r="I14" i="21"/>
  <c r="I13" i="21"/>
  <c r="I11" i="21"/>
  <c r="I10" i="21"/>
  <c r="O12" i="20"/>
  <c r="O10" i="20"/>
  <c r="I14" i="20"/>
  <c r="H12" i="20"/>
  <c r="G12" i="20"/>
  <c r="F12" i="20"/>
  <c r="I12" i="20" s="1"/>
  <c r="E12" i="20"/>
  <c r="I11" i="20"/>
  <c r="H10" i="20"/>
  <c r="G10" i="20"/>
  <c r="F10" i="20"/>
  <c r="E10" i="20"/>
  <c r="I10" i="20" s="1"/>
  <c r="I9" i="20"/>
  <c r="Q13" i="19"/>
  <c r="Q14" i="19"/>
  <c r="U30" i="17"/>
  <c r="O8" i="24" s="1"/>
  <c r="T30" i="17"/>
  <c r="L8" i="24"/>
  <c r="S30" i="17"/>
  <c r="K8" i="24"/>
  <c r="Q22" i="17"/>
  <c r="Q10" i="17"/>
  <c r="I27" i="17"/>
  <c r="I26" i="17"/>
  <c r="I22" i="17"/>
  <c r="I19" i="17"/>
  <c r="I18" i="17"/>
  <c r="I12" i="17"/>
  <c r="I10" i="17"/>
  <c r="I14" i="19"/>
  <c r="I13" i="19"/>
  <c r="I12" i="19"/>
  <c r="Q10" i="18"/>
  <c r="Q18" i="18"/>
  <c r="Q17" i="18"/>
  <c r="Q16" i="18"/>
  <c r="Q25" i="18"/>
  <c r="S65" i="18"/>
  <c r="K5" i="24" s="1"/>
  <c r="I25" i="18"/>
  <c r="I19" i="18"/>
  <c r="I18" i="18"/>
  <c r="O17" i="18"/>
  <c r="I16" i="18"/>
  <c r="I9" i="18"/>
  <c r="K6" i="24"/>
  <c r="I33" i="16"/>
  <c r="I32" i="16"/>
  <c r="I31" i="16"/>
  <c r="I25" i="16"/>
  <c r="I24" i="16"/>
  <c r="I23" i="16"/>
  <c r="I22" i="16"/>
  <c r="I20" i="16"/>
  <c r="I19" i="16"/>
  <c r="I18" i="16"/>
  <c r="I16" i="16"/>
  <c r="I15" i="16"/>
  <c r="Q13" i="16"/>
  <c r="I11" i="16"/>
  <c r="V36" i="15"/>
  <c r="P15" i="15"/>
  <c r="P36" i="15"/>
  <c r="P32" i="15"/>
  <c r="P44" i="15"/>
  <c r="P43" i="15"/>
  <c r="AB45" i="15"/>
  <c r="X11" i="15"/>
  <c r="P11" i="15"/>
  <c r="K11" i="24"/>
  <c r="X31" i="15"/>
  <c r="Q11" i="22"/>
  <c r="Q14" i="22" s="1"/>
  <c r="M13" i="24" s="1"/>
  <c r="Y45" i="15"/>
  <c r="X45" i="15" s="1"/>
  <c r="M7" i="24" s="1"/>
  <c r="J6" i="24" l="1"/>
  <c r="Q34" i="16"/>
  <c r="M6" i="24" s="1"/>
  <c r="Q15" i="20"/>
  <c r="M11" i="24" s="1"/>
  <c r="J11" i="24"/>
  <c r="Q22" i="23"/>
  <c r="M12" i="24" s="1"/>
  <c r="L14" i="24"/>
  <c r="L18" i="24" s="1"/>
  <c r="Q11" i="19"/>
  <c r="Q16" i="19" s="1"/>
  <c r="M9" i="24" s="1"/>
  <c r="R30" i="17"/>
  <c r="J8" i="24" s="1"/>
  <c r="R22" i="23"/>
  <c r="J12" i="24" s="1"/>
  <c r="R65" i="18"/>
  <c r="Q26" i="16"/>
  <c r="J7" i="24"/>
  <c r="O14" i="24"/>
  <c r="O20" i="24" s="1"/>
  <c r="K14" i="24"/>
  <c r="K18" i="24" s="1"/>
  <c r="J5" i="24" l="1"/>
  <c r="Q65" i="18"/>
  <c r="M5" i="24" s="1"/>
  <c r="M14" i="24" s="1"/>
  <c r="J14" i="24"/>
  <c r="J18" i="24" s="1"/>
  <c r="M18" i="24" s="1"/>
</calcChain>
</file>

<file path=xl/comments1.xml><?xml version="1.0" encoding="utf-8"?>
<comments xmlns="http://schemas.openxmlformats.org/spreadsheetml/2006/main">
  <authors>
    <author>Celmira Perez Fernandez</author>
  </authors>
  <commentList>
    <comment ref="U17" authorId="0" shapeId="0">
      <text>
        <r>
          <rPr>
            <b/>
            <sz val="9"/>
            <color indexed="81"/>
            <rFont val="Tahoma"/>
            <family val="2"/>
          </rPr>
          <t>Ene.26 tras a la act. 7 de Meteorología Rad.20164000000163 $4000000</t>
        </r>
      </text>
    </comment>
    <comment ref="U30" authorId="0" shapeId="0">
      <text>
        <r>
          <rPr>
            <b/>
            <sz val="9"/>
            <color indexed="81"/>
            <rFont val="Tahoma"/>
            <family val="2"/>
          </rPr>
          <t xml:space="preserve">Nov.26 tras de la act. 4, de Meteorología Rad.20164000000163 $4000000
Feb. 18 tras de Sría Gral $8000000
</t>
        </r>
      </text>
    </comment>
  </commentList>
</comments>
</file>

<file path=xl/comments10.xml><?xml version="1.0" encoding="utf-8"?>
<comments xmlns="http://schemas.openxmlformats.org/spreadsheetml/2006/main">
  <authors>
    <author>Celmira Perez Fernandez</author>
  </authors>
  <commentList>
    <comment ref="R11" authorId="0" shapeId="0">
      <text>
        <r>
          <rPr>
            <b/>
            <sz val="9"/>
            <color indexed="81"/>
            <rFont val="Tahoma"/>
            <family val="2"/>
          </rPr>
          <t>Mar.2 tras a la act. 1 Sría Gral $370000000
rad.20167000001923</t>
        </r>
      </text>
    </comment>
  </commentList>
</comments>
</file>

<file path=xl/comments11.xml><?xml version="1.0" encoding="utf-8"?>
<comments xmlns="http://schemas.openxmlformats.org/spreadsheetml/2006/main">
  <authors>
    <author>Celmira Perez Fernandez</author>
  </authors>
  <commentList>
    <comment ref="R12" authorId="0" shapeId="0">
      <text>
        <r>
          <rPr>
            <b/>
            <sz val="9"/>
            <color indexed="81"/>
            <rFont val="Tahoma"/>
            <family val="2"/>
          </rPr>
          <t>Jun.15 tras a la act. 5 de Informática $94000000</t>
        </r>
      </text>
    </comment>
    <comment ref="U12" authorId="0" shapeId="0">
      <text>
        <r>
          <rPr>
            <b/>
            <sz val="9"/>
            <color indexed="81"/>
            <rFont val="Tahoma"/>
            <family val="2"/>
          </rPr>
          <t>Abr.4 tras a la act.4 de Sría Gral $2266887,65</t>
        </r>
      </text>
    </comment>
    <comment ref="R14" authorId="0" shapeId="0">
      <text>
        <r>
          <rPr>
            <b/>
            <sz val="9"/>
            <color indexed="81"/>
            <rFont val="Tahoma"/>
            <family val="2"/>
          </rPr>
          <t>Jun.15 Tras de la act. 3 de Informática $94000000</t>
        </r>
      </text>
    </comment>
  </commentList>
</comments>
</file>

<file path=xl/comments12.xml><?xml version="1.0" encoding="utf-8"?>
<comments xmlns="http://schemas.openxmlformats.org/spreadsheetml/2006/main">
  <authors>
    <author>Celmira Perez Fernandez</author>
  </authors>
  <commentList>
    <comment ref="R12" authorId="0" shapeId="0">
      <text>
        <r>
          <rPr>
            <b/>
            <sz val="9"/>
            <color indexed="81"/>
            <rFont val="Tahoma"/>
            <family val="2"/>
          </rPr>
          <t>Jun.15 tras a la act. 5 de Informática $94000000</t>
        </r>
      </text>
    </comment>
    <comment ref="U12" authorId="0" shapeId="0">
      <text>
        <r>
          <rPr>
            <b/>
            <sz val="9"/>
            <color indexed="81"/>
            <rFont val="Tahoma"/>
            <family val="2"/>
          </rPr>
          <t>Abr.4 tras a la act.4 de Sría Gral $2266887,65</t>
        </r>
      </text>
    </comment>
    <comment ref="R14" authorId="0" shapeId="0">
      <text>
        <r>
          <rPr>
            <b/>
            <sz val="9"/>
            <color indexed="81"/>
            <rFont val="Tahoma"/>
            <family val="2"/>
          </rPr>
          <t>Jun.15 Tras de la act. 3 de Informática $94000000</t>
        </r>
      </text>
    </comment>
  </commentList>
</comments>
</file>

<file path=xl/comments13.xml><?xml version="1.0" encoding="utf-8"?>
<comments xmlns="http://schemas.openxmlformats.org/spreadsheetml/2006/main">
  <authors>
    <author>Celmira Perez Fernandez</author>
  </authors>
  <commentList>
    <comment ref="U12" authorId="0" shapeId="0">
      <text>
        <r>
          <rPr>
            <b/>
            <sz val="9"/>
            <color indexed="81"/>
            <rFont val="Tahoma"/>
            <family val="2"/>
          </rPr>
          <t xml:space="preserve">Abr.21 Tras de la Act. 4 de Sría Gral </t>
        </r>
        <r>
          <rPr>
            <b/>
            <u/>
            <sz val="9"/>
            <color indexed="81"/>
            <rFont val="Tahoma"/>
            <family val="2"/>
          </rPr>
          <t>$216462493 y 9438355</t>
        </r>
      </text>
    </comment>
  </commentList>
</comments>
</file>

<file path=xl/comments14.xml><?xml version="1.0" encoding="utf-8"?>
<comments xmlns="http://schemas.openxmlformats.org/spreadsheetml/2006/main">
  <authors>
    <author>Celmira Perez Fernandez</author>
  </authors>
  <commentList>
    <comment ref="U12" authorId="0" shapeId="0">
      <text>
        <r>
          <rPr>
            <b/>
            <sz val="9"/>
            <color indexed="81"/>
            <rFont val="Tahoma"/>
            <family val="2"/>
          </rPr>
          <t xml:space="preserve">Abr.21 Tras de la Act. 4 de Sría Gral </t>
        </r>
        <r>
          <rPr>
            <b/>
            <u/>
            <sz val="9"/>
            <color indexed="81"/>
            <rFont val="Tahoma"/>
            <family val="2"/>
          </rPr>
          <t>$216462493 y 9438355</t>
        </r>
      </text>
    </comment>
  </commentList>
</comments>
</file>

<file path=xl/comments15.xml><?xml version="1.0" encoding="utf-8"?>
<comments xmlns="http://schemas.openxmlformats.org/spreadsheetml/2006/main">
  <authors>
    <author>Celmira Perez Fernandez</author>
  </authors>
  <commentList>
    <comment ref="R8" authorId="0" shapeId="0">
      <text>
        <r>
          <rPr>
            <b/>
            <sz val="9"/>
            <color indexed="81"/>
            <rFont val="Tahoma"/>
            <family val="2"/>
          </rPr>
          <t>Mar.2 tras de la act.2 de Redes $370000000 Rad.20167000001923 Jun.27 se tras a la act. 2 de Sría Gral $300000000</t>
        </r>
      </text>
    </comment>
    <comment ref="R10" authorId="0" shapeId="0">
      <text>
        <r>
          <rPr>
            <b/>
            <sz val="9"/>
            <color indexed="81"/>
            <rFont val="Tahoma"/>
            <family val="2"/>
          </rPr>
          <t>Jun.27 se tras de la act. 1 de Sría Gral $300000000</t>
        </r>
      </text>
    </comment>
    <comment ref="U20" authorId="0" shapeId="0">
      <text>
        <r>
          <rPr>
            <b/>
            <sz val="9"/>
            <color indexed="81"/>
            <rFont val="Tahoma"/>
            <family val="2"/>
          </rPr>
          <t>Tras a la act. 3 de Ecosistemas $85489529
Feb.18 tras a la act. 7 de Hidrología $53050000, a la act. 7 de Meteorología $8000000 y a a act. 3 de Ecososistemas $9184900 y 19184000
Abr.4 tras de la act. 3 de Informática $2266887,65
Abr. 21 traslado de Dirección General $1208079111
Abr.21 tras a Pronosticos act. 4 $216462493, Tras a Pronosticos Act. 4 $9438355, Tras a Planeación Act. 1 61000000  y Tras a Hidrología $27000000
Feb.tras de Dirección General $85489529
Mayo.13 Ajuste de acuerdo al plan de contratación. -$
750005000</t>
        </r>
      </text>
    </comment>
  </commentList>
</comments>
</file>

<file path=xl/comments16.xml><?xml version="1.0" encoding="utf-8"?>
<comments xmlns="http://schemas.openxmlformats.org/spreadsheetml/2006/main">
  <authors>
    <author>Celmira Perez Fernandez</author>
  </authors>
  <commentList>
    <comment ref="R8" authorId="0" shapeId="0">
      <text>
        <r>
          <rPr>
            <b/>
            <sz val="9"/>
            <color indexed="81"/>
            <rFont val="Tahoma"/>
            <family val="2"/>
          </rPr>
          <t>Mar.2 tras de la act.2 de Redes $370000000 Rad.20167000001923 Jun.27 se tras a la act. 2 de Sría Gral $300000000</t>
        </r>
      </text>
    </comment>
    <comment ref="R10" authorId="0" shapeId="0">
      <text>
        <r>
          <rPr>
            <b/>
            <sz val="9"/>
            <color indexed="81"/>
            <rFont val="Tahoma"/>
            <family val="2"/>
          </rPr>
          <t>Jun.27 se tras de la act. 1 de Sría Gral $300000000</t>
        </r>
      </text>
    </comment>
    <comment ref="U20" authorId="0" shapeId="0">
      <text>
        <r>
          <rPr>
            <b/>
            <sz val="9"/>
            <color indexed="81"/>
            <rFont val="Tahoma"/>
            <family val="2"/>
          </rPr>
          <t>Tras a la act. 3 de Ecosistemas $85489529
Feb.18 tras a la act. 7 de Hidrología $53050000, a la act. 7 de Meteorología $8000000 y a a act. 3 de Ecososistemas $9184900 y 19184000
Abr.4 tras de la act. 3 de Informática $2266887,65
Abr. 21 traslado de Dirección General $1208079111
Abr.21 tras a Pronosticos act. 4 $216462493, Tras a Pronosticos Act. 4 $9438355, Tras a Planeación Act. 1 61000000  y Tras a Hidrología $27000000
Feb.tras de Dirección General $85489529
Mayo.13 Ajuste de acuerdo al plan de contratación. -$
750005000</t>
        </r>
      </text>
    </comment>
  </commentList>
</comments>
</file>

<file path=xl/comments17.xml><?xml version="1.0" encoding="utf-8"?>
<comments xmlns="http://schemas.openxmlformats.org/spreadsheetml/2006/main">
  <authors>
    <author>Celmira Perez Fernandez</author>
  </authors>
  <commentList>
    <comment ref="U11" authorId="0" shapeId="0">
      <text>
        <r>
          <rPr>
            <sz val="9"/>
            <color indexed="81"/>
            <rFont val="Tahoma"/>
            <family val="2"/>
          </rPr>
          <t>Abr.21 tras de la act. 4 de Sría Gral $61000000</t>
        </r>
      </text>
    </comment>
  </commentList>
</comments>
</file>

<file path=xl/comments18.xml><?xml version="1.0" encoding="utf-8"?>
<comments xmlns="http://schemas.openxmlformats.org/spreadsheetml/2006/main">
  <authors>
    <author>Celmira Perez Fernandez</author>
  </authors>
  <commentList>
    <comment ref="U11" authorId="0" shapeId="0">
      <text>
        <r>
          <rPr>
            <sz val="9"/>
            <color indexed="81"/>
            <rFont val="Tahoma"/>
            <family val="2"/>
          </rPr>
          <t>Abr.21 tras de la act. 4 de Sría Gral $61000000</t>
        </r>
      </text>
    </comment>
  </commentList>
</comments>
</file>

<file path=xl/comments2.xml><?xml version="1.0" encoding="utf-8"?>
<comments xmlns="http://schemas.openxmlformats.org/spreadsheetml/2006/main">
  <authors>
    <author>Celmira Perez Fernandez</author>
  </authors>
  <commentList>
    <comment ref="U19" authorId="0" shapeId="0">
      <text>
        <r>
          <rPr>
            <b/>
            <sz val="9"/>
            <color indexed="81"/>
            <rFont val="Tahoma"/>
            <family val="2"/>
          </rPr>
          <t>Ene.26 tras a la act. 7 de Meteorología Rad.20164000000163 $4000000</t>
        </r>
      </text>
    </comment>
    <comment ref="U32" authorId="0" shapeId="0">
      <text>
        <r>
          <rPr>
            <b/>
            <sz val="9"/>
            <color indexed="81"/>
            <rFont val="Tahoma"/>
            <family val="2"/>
          </rPr>
          <t xml:space="preserve">Nov.26 tras de la act. 4, de Meteorología Rad.20164000000163 $4000000
Feb. 18 tras de Sría Gral $8000000
</t>
        </r>
      </text>
    </comment>
  </commentList>
</comments>
</file>

<file path=xl/comments3.xml><?xml version="1.0" encoding="utf-8"?>
<comments xmlns="http://schemas.openxmlformats.org/spreadsheetml/2006/main">
  <authors>
    <author>Celmira Perez Fernandez</author>
  </authors>
  <commentList>
    <comment ref="R14" authorId="0" shapeId="0">
      <text>
        <r>
          <rPr>
            <b/>
            <sz val="9"/>
            <color indexed="81"/>
            <rFont val="Tahoma"/>
            <family val="2"/>
          </rPr>
          <t xml:space="preserve">Feb.29 tras de la act. 10 de Hidrología $42000000
</t>
        </r>
      </text>
    </comment>
    <comment ref="R16" authorId="0" shapeId="0">
      <text>
        <r>
          <rPr>
            <b/>
            <sz val="9"/>
            <color indexed="81"/>
            <rFont val="Tahoma"/>
            <family val="2"/>
          </rPr>
          <t xml:space="preserve">Jun.28 tras de la act. 10 de Hidrología $66,200,000
</t>
        </r>
      </text>
    </comment>
    <comment ref="U17" authorId="0" shapeId="0">
      <text>
        <r>
          <rPr>
            <b/>
            <sz val="9"/>
            <color indexed="81"/>
            <rFont val="Tahoma"/>
            <family val="2"/>
          </rPr>
          <t xml:space="preserve">Feb.10 tras a la act. 7 de Hidrogología $9750000
</t>
        </r>
      </text>
    </comment>
    <comment ref="U19" authorId="0" shapeId="0">
      <text>
        <r>
          <rPr>
            <b/>
            <sz val="9"/>
            <color indexed="81"/>
            <rFont val="Tahoma"/>
            <family val="2"/>
          </rPr>
          <t xml:space="preserve">Feb.10 tras de la act. 5 de Hidrología $9750000
Feb.18 tras de Sría Gral $53050000
Abr. 21 tras de la act. 4 de Sría Gral $2700000
</t>
        </r>
      </text>
    </comment>
    <comment ref="R22" authorId="0" shapeId="0">
      <text>
        <r>
          <rPr>
            <sz val="9"/>
            <color indexed="81"/>
            <rFont val="Tahoma"/>
            <family val="2"/>
          </rPr>
          <t xml:space="preserve">Ene.20 tras de la act. 8 a la 9 de Hidrología $6720000
</t>
        </r>
      </text>
    </comment>
    <comment ref="R26" authorId="0" shapeId="0">
      <text>
        <r>
          <rPr>
            <b/>
            <sz val="9"/>
            <color indexed="81"/>
            <rFont val="Tahoma"/>
            <family val="2"/>
          </rPr>
          <t>Ene.20 Tras de la act. 9 de Hidrologia $6720000</t>
        </r>
      </text>
    </comment>
    <comment ref="R31" authorId="0" shapeId="0">
      <text>
        <r>
          <rPr>
            <b/>
            <sz val="9"/>
            <color indexed="81"/>
            <rFont val="Tahoma"/>
            <family val="2"/>
          </rPr>
          <t xml:space="preserve">Feb.29 tras a la act. 3 de Hidrología $42000000
Jun.28 tras a la act. 4 de Hidrología $66200000
</t>
        </r>
      </text>
    </comment>
  </commentList>
</comments>
</file>

<file path=xl/comments4.xml><?xml version="1.0" encoding="utf-8"?>
<comments xmlns="http://schemas.openxmlformats.org/spreadsheetml/2006/main">
  <authors>
    <author>Celmira Perez Fernandez</author>
  </authors>
  <commentList>
    <comment ref="R15" authorId="0" shapeId="0">
      <text>
        <r>
          <rPr>
            <b/>
            <sz val="9"/>
            <color indexed="81"/>
            <rFont val="Tahoma"/>
            <family val="2"/>
          </rPr>
          <t xml:space="preserve">Feb.29 tras de la act. 10 de Hidrología $42000000
</t>
        </r>
      </text>
    </comment>
    <comment ref="R17" authorId="0" shapeId="0">
      <text>
        <r>
          <rPr>
            <b/>
            <sz val="9"/>
            <color indexed="81"/>
            <rFont val="Tahoma"/>
            <family val="2"/>
          </rPr>
          <t xml:space="preserve">Jun.28 tras de la act. 10 de Hidrología $66,200,000
</t>
        </r>
      </text>
    </comment>
    <comment ref="U18" authorId="0" shapeId="0">
      <text>
        <r>
          <rPr>
            <b/>
            <sz val="9"/>
            <color indexed="81"/>
            <rFont val="Tahoma"/>
            <family val="2"/>
          </rPr>
          <t xml:space="preserve">Feb.10 tras a la act. 7 de Hidrogología $9750000
</t>
        </r>
      </text>
    </comment>
    <comment ref="U20" authorId="0" shapeId="0">
      <text>
        <r>
          <rPr>
            <b/>
            <sz val="9"/>
            <color indexed="81"/>
            <rFont val="Tahoma"/>
            <family val="2"/>
          </rPr>
          <t xml:space="preserve">Feb.10 tras de la act. 5 de Hidrología $9750000
Feb.18 tras de Sría Gral $53050000
Abr. 21 tras de la act. 4 de Sría Gral $2700000
</t>
        </r>
      </text>
    </comment>
    <comment ref="R23" authorId="0" shapeId="0">
      <text>
        <r>
          <rPr>
            <sz val="9"/>
            <color indexed="81"/>
            <rFont val="Tahoma"/>
            <family val="2"/>
          </rPr>
          <t xml:space="preserve">Ene.20 tras de la act. 8 a la 9 de Hidrología $6720000
</t>
        </r>
      </text>
    </comment>
    <comment ref="R27" authorId="0" shapeId="0">
      <text>
        <r>
          <rPr>
            <b/>
            <sz val="9"/>
            <color indexed="81"/>
            <rFont val="Tahoma"/>
            <family val="2"/>
          </rPr>
          <t>Ene.20 Tras de la act. 9 de Hidrologia $6720000</t>
        </r>
      </text>
    </comment>
    <comment ref="R32" authorId="0" shapeId="0">
      <text>
        <r>
          <rPr>
            <b/>
            <sz val="9"/>
            <color indexed="81"/>
            <rFont val="Tahoma"/>
            <family val="2"/>
          </rPr>
          <t xml:space="preserve">Feb.29 tras a la act. 3 de Hidrología $42000000
Jun.28 tras a la act. 4 de Hidrología $66200000
</t>
        </r>
      </text>
    </comment>
  </commentList>
</comments>
</file>

<file path=xl/comments5.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8" authorId="1" shapeId="0">
      <text>
        <r>
          <rPr>
            <b/>
            <sz val="9"/>
            <color indexed="81"/>
            <rFont val="Tahoma"/>
            <family val="2"/>
          </rPr>
          <t>Jun.2 tras de la act. 9 de Estudios Ambientales
$10000000</t>
        </r>
      </text>
    </comment>
    <comment ref="AB30" authorId="0" shapeId="0">
      <text>
        <r>
          <rPr>
            <sz val="9"/>
            <color indexed="81"/>
            <rFont val="Tahoma"/>
            <family val="2"/>
          </rPr>
          <t>Recursos de cooperación internacional o donaciones.</t>
        </r>
      </text>
    </comment>
    <comment ref="AB35" authorId="0" shapeId="0">
      <text>
        <r>
          <rPr>
            <sz val="9"/>
            <color indexed="81"/>
            <rFont val="Tahoma"/>
            <family val="2"/>
          </rPr>
          <t>Recursos de cooperación internacional o donaciones.</t>
        </r>
      </text>
    </comment>
    <comment ref="Y36" authorId="1" shapeId="0">
      <text>
        <r>
          <rPr>
            <b/>
            <sz val="9"/>
            <color indexed="81"/>
            <rFont val="Tahoma"/>
            <family val="2"/>
          </rPr>
          <t>Jun.2 tras a la act. 4 de Estudios Ambientales $10000000</t>
        </r>
      </text>
    </comment>
    <comment ref="AB42" authorId="0" shapeId="0">
      <text>
        <r>
          <rPr>
            <sz val="9"/>
            <color indexed="81"/>
            <rFont val="Tahoma"/>
            <family val="2"/>
          </rPr>
          <t>Recursos de cooperación internacional o donaciones.</t>
        </r>
      </text>
    </comment>
  </commentList>
</comments>
</file>

<file path=xl/comments6.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8" authorId="1" shapeId="0">
      <text>
        <r>
          <rPr>
            <b/>
            <sz val="9"/>
            <color indexed="81"/>
            <rFont val="Tahoma"/>
            <family val="2"/>
          </rPr>
          <t>Jun.2 tras de la act. 9 de Estudios Ambientales
$10000000</t>
        </r>
      </text>
    </comment>
    <comment ref="AB30" authorId="0" shapeId="0">
      <text>
        <r>
          <rPr>
            <sz val="9"/>
            <color indexed="81"/>
            <rFont val="Tahoma"/>
            <family val="2"/>
          </rPr>
          <t>Recursos de cooperación internacional o donaciones.</t>
        </r>
      </text>
    </comment>
    <comment ref="AB35" authorId="0" shapeId="0">
      <text>
        <r>
          <rPr>
            <sz val="9"/>
            <color indexed="81"/>
            <rFont val="Tahoma"/>
            <family val="2"/>
          </rPr>
          <t>Recursos de cooperación internacional o donaciones.</t>
        </r>
      </text>
    </comment>
    <comment ref="Y36" authorId="1" shapeId="0">
      <text>
        <r>
          <rPr>
            <b/>
            <sz val="9"/>
            <color indexed="81"/>
            <rFont val="Tahoma"/>
            <family val="2"/>
          </rPr>
          <t>Jun.2 tras a la act. 4 de Estudios Ambientales $10000000</t>
        </r>
      </text>
    </comment>
    <comment ref="AB42" authorId="0" shapeId="0">
      <text>
        <r>
          <rPr>
            <sz val="9"/>
            <color indexed="81"/>
            <rFont val="Tahoma"/>
            <family val="2"/>
          </rPr>
          <t>Recursos de cooperación internacional o donaciones.</t>
        </r>
      </text>
    </comment>
  </commentList>
</comments>
</file>

<file path=xl/comments7.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12" authorId="0" shapeId="0">
      <text>
        <r>
          <rPr>
            <b/>
            <sz val="9"/>
            <color indexed="81"/>
            <rFont val="Tahoma"/>
            <family val="2"/>
          </rPr>
          <t>Feb.18 se ajusta meta por solicitud de la Sub. Ecosistemas Rad.20165000000573</t>
        </r>
      </text>
    </comment>
    <comment ref="E18" authorId="1" shapeId="0">
      <text>
        <r>
          <rPr>
            <b/>
            <sz val="9"/>
            <color indexed="81"/>
            <rFont val="Tahoma"/>
            <family val="2"/>
          </rPr>
          <t>Maria Saralux Valbuena Lopez:</t>
        </r>
        <r>
          <rPr>
            <sz val="9"/>
            <color indexed="81"/>
            <rFont val="Tahoma"/>
            <family val="2"/>
          </rPr>
          <t xml:space="preserve">
Susceptibilidad a la salinización</t>
        </r>
      </text>
    </comment>
    <comment ref="F18" authorId="1" shapeId="0">
      <text>
        <r>
          <rPr>
            <b/>
            <sz val="9"/>
            <color indexed="81"/>
            <rFont val="Tahoma"/>
            <family val="2"/>
          </rPr>
          <t>Maria Saralux Valbuena Lopez:</t>
        </r>
        <r>
          <rPr>
            <sz val="9"/>
            <color indexed="81"/>
            <rFont val="Tahoma"/>
            <family val="2"/>
          </rPr>
          <t xml:space="preserve">
Salinización y compactación</t>
        </r>
      </text>
    </comment>
    <comment ref="G18" authorId="1" shapeId="0">
      <text>
        <r>
          <rPr>
            <b/>
            <sz val="9"/>
            <color indexed="81"/>
            <rFont val="Tahoma"/>
            <family val="2"/>
          </rPr>
          <t>Maria Saralux Valbuena Lopez:</t>
        </r>
        <r>
          <rPr>
            <sz val="9"/>
            <color indexed="81"/>
            <rFont val="Tahoma"/>
            <family val="2"/>
          </rPr>
          <t xml:space="preserve">
Desertificación</t>
        </r>
      </text>
    </comment>
    <comment ref="H18"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18"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R18" authorId="0" shapeId="0">
      <text>
        <r>
          <rPr>
            <b/>
            <sz val="9"/>
            <color indexed="81"/>
            <rFont val="Tahoma"/>
            <family val="2"/>
          </rPr>
          <t>Abr.27 Tras a la act. 3 de Ecosistemas $4184960</t>
        </r>
      </text>
    </comment>
    <comment ref="O22"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R22" authorId="0" shapeId="0">
      <text>
        <r>
          <rPr>
            <b/>
            <sz val="9"/>
            <color indexed="81"/>
            <rFont val="Tahoma"/>
            <family val="2"/>
          </rPr>
          <t>Abr.27 Tras de la act. 2 de Ecosistemas $4184960</t>
        </r>
      </text>
    </comment>
    <comment ref="U22" authorId="0" shapeId="0">
      <text>
        <r>
          <rPr>
            <b/>
            <sz val="9"/>
            <color indexed="81"/>
            <rFont val="Tahoma"/>
            <family val="2"/>
          </rPr>
          <t>Feb.18 tras de Sría Gral $9184900
Feb.18 tras de Sría Gral $19184000</t>
        </r>
      </text>
    </comment>
    <comment ref="N26"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N27"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comments8.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12" authorId="0" shapeId="0">
      <text>
        <r>
          <rPr>
            <b/>
            <sz val="9"/>
            <color indexed="81"/>
            <rFont val="Tahoma"/>
            <family val="2"/>
          </rPr>
          <t>Feb.18 se ajusta meta por solicitud de la Sub. Ecosistemas Rad.20165000000573</t>
        </r>
      </text>
    </comment>
    <comment ref="E18" authorId="1" shapeId="0">
      <text>
        <r>
          <rPr>
            <b/>
            <sz val="9"/>
            <color indexed="81"/>
            <rFont val="Tahoma"/>
            <family val="2"/>
          </rPr>
          <t>Maria Saralux Valbuena Lopez:</t>
        </r>
        <r>
          <rPr>
            <sz val="9"/>
            <color indexed="81"/>
            <rFont val="Tahoma"/>
            <family val="2"/>
          </rPr>
          <t xml:space="preserve">
Susceptibilidad a la salinización</t>
        </r>
      </text>
    </comment>
    <comment ref="F18" authorId="1" shapeId="0">
      <text>
        <r>
          <rPr>
            <b/>
            <sz val="9"/>
            <color indexed="81"/>
            <rFont val="Tahoma"/>
            <family val="2"/>
          </rPr>
          <t>Maria Saralux Valbuena Lopez:</t>
        </r>
        <r>
          <rPr>
            <sz val="9"/>
            <color indexed="81"/>
            <rFont val="Tahoma"/>
            <family val="2"/>
          </rPr>
          <t xml:space="preserve">
Salinización y compactación</t>
        </r>
      </text>
    </comment>
    <comment ref="G18" authorId="1" shapeId="0">
      <text>
        <r>
          <rPr>
            <b/>
            <sz val="9"/>
            <color indexed="81"/>
            <rFont val="Tahoma"/>
            <family val="2"/>
          </rPr>
          <t>Maria Saralux Valbuena Lopez:</t>
        </r>
        <r>
          <rPr>
            <sz val="9"/>
            <color indexed="81"/>
            <rFont val="Tahoma"/>
            <family val="2"/>
          </rPr>
          <t xml:space="preserve">
Desertificación</t>
        </r>
      </text>
    </comment>
    <comment ref="H18"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18"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R18" authorId="0" shapeId="0">
      <text>
        <r>
          <rPr>
            <b/>
            <sz val="9"/>
            <color indexed="81"/>
            <rFont val="Tahoma"/>
            <family val="2"/>
          </rPr>
          <t>Abr.27 Tras a la act. 3 de Ecosistemas $4184960</t>
        </r>
      </text>
    </comment>
    <comment ref="O22"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R22" authorId="0" shapeId="0">
      <text>
        <r>
          <rPr>
            <b/>
            <sz val="9"/>
            <color indexed="81"/>
            <rFont val="Tahoma"/>
            <family val="2"/>
          </rPr>
          <t>Abr.27 Tras de la act. 2 de Ecosistemas $4184960</t>
        </r>
      </text>
    </comment>
    <comment ref="U22" authorId="0" shapeId="0">
      <text>
        <r>
          <rPr>
            <b/>
            <sz val="9"/>
            <color indexed="81"/>
            <rFont val="Tahoma"/>
            <family val="2"/>
          </rPr>
          <t>Feb.18 tras de Sría Gral $9184900
Feb.18 tras de Sría Gral $19184000</t>
        </r>
      </text>
    </comment>
    <comment ref="N26"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N27"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comments9.xml><?xml version="1.0" encoding="utf-8"?>
<comments xmlns="http://schemas.openxmlformats.org/spreadsheetml/2006/main">
  <authors>
    <author>Celmira Perez Fernandez</author>
  </authors>
  <commentList>
    <comment ref="R11" authorId="0" shapeId="0">
      <text>
        <r>
          <rPr>
            <b/>
            <sz val="9"/>
            <color indexed="81"/>
            <rFont val="Tahoma"/>
            <family val="2"/>
          </rPr>
          <t>Mar.2 tras a la act. 1 Sría Gral $370000000
rad.20167000001923</t>
        </r>
      </text>
    </comment>
  </commentList>
</comments>
</file>

<file path=xl/sharedStrings.xml><?xml version="1.0" encoding="utf-8"?>
<sst xmlns="http://schemas.openxmlformats.org/spreadsheetml/2006/main" count="2496" uniqueCount="746">
  <si>
    <t>INSTITUTO DE HIDROLOGÍA, METEOROLOGÍA Y ESTUDIOS AMBIENTALES</t>
  </si>
  <si>
    <t>INSTITUTO DE HIDROLOGÍA, METEOROLOGÍA Y ESTUDIOS AMBIENTALES (IDEAM)</t>
  </si>
  <si>
    <t>OFICINA ASESORA DE PLANEACIÓN</t>
  </si>
  <si>
    <t>PLAN INDICATIVO CUATRIENAL</t>
  </si>
  <si>
    <t>R   E   C   U   R   S   O   S</t>
  </si>
  <si>
    <t>No</t>
  </si>
  <si>
    <t>CAPITULO PLAN NACIONAL DE DESARROLLO</t>
  </si>
  <si>
    <t>SUBCAPITULO PLAN NACIONAL DE DESARROLLO</t>
  </si>
  <si>
    <t>PROGRAMA PLAN NACIONAL DE DESARROLLO</t>
  </si>
  <si>
    <t>LINEAMIENTO ESTRATÉGICO PLAN NACIONAL DE DESARROLLO</t>
  </si>
  <si>
    <t>ACTIVIDADES CUATRIENIO NACIONALES</t>
  </si>
  <si>
    <t>No ACTIVIDAD CUATRIENIO</t>
  </si>
  <si>
    <t>PRODUCTO ESPERADO</t>
  </si>
  <si>
    <t>INDICADOR INSTITUCIONAL</t>
  </si>
  <si>
    <t>No. ACT.</t>
  </si>
  <si>
    <t>INDICADOR ACTIVIDAD</t>
  </si>
  <si>
    <t>META ACTIVIDAD</t>
  </si>
  <si>
    <t>INVERSIÓN</t>
  </si>
  <si>
    <t>APORTES DE LA NACIÓN</t>
  </si>
  <si>
    <t>RECURSOS PROPIOS</t>
  </si>
  <si>
    <t>BANCO MUNDIAL - IDS</t>
  </si>
  <si>
    <t>OTROS</t>
  </si>
  <si>
    <t>Subdirección de Estudios Ambientales</t>
  </si>
  <si>
    <t>Objetivo 2 PND 2015-2018: Proteger y asegurar el uso sostenible del capital natural y mejorar la calidad ambiental.</t>
  </si>
  <si>
    <t>META 2015</t>
  </si>
  <si>
    <t>META 2016</t>
  </si>
  <si>
    <t>META 2017</t>
  </si>
  <si>
    <t>META 2018</t>
  </si>
  <si>
    <t>META CUATRIENIO</t>
  </si>
  <si>
    <t>DEPENDENCIA RESPONSABLE</t>
  </si>
  <si>
    <t>Disponer de los instrumentos necesarios para garantizar el suministro de datos e información ambiental por parte de las organizaciones e instituciones públicas y privadas.</t>
  </si>
  <si>
    <t>ACTIVIDAD POA 2015</t>
  </si>
  <si>
    <t>POA 2015 - PROYECTO DE INVERSIÓN</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</si>
  <si>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</si>
  <si>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Estrategia 1: Conservar y asegurar el uso sostenible del capital natural marino y continental de la Nación.</t>
  </si>
  <si>
    <t>Acción: Reducción de la deforestación.</t>
  </si>
  <si>
    <t xml:space="preserve">Acción: Uso de instrumentos económicos y la valoración de la biodiversidad. </t>
  </si>
  <si>
    <t>Acción: Reducción de consumo y post-consumo.</t>
  </si>
  <si>
    <t>Acción: Manejo integrado de la contaminación, con énfasis en reconversión a tecnologías más limpias.</t>
  </si>
  <si>
    <t>Acción: Política Nacional de Cambio Climático.</t>
  </si>
  <si>
    <t>FUNCIONAMIENTO</t>
  </si>
  <si>
    <t>Actualización bianual del INGEI.</t>
  </si>
  <si>
    <t>Informe publicado.</t>
  </si>
  <si>
    <t>Suministrar información para la consolidación de las cuentas nacionales (SIA).</t>
  </si>
  <si>
    <t>Inventario actualizado a 2012.</t>
  </si>
  <si>
    <t>Tercera Comunicación Nacional de Cambio Climático.</t>
  </si>
  <si>
    <t>Estrategia 4: Consolidar un marco de política de cambio climático buscando su integración con la planificación ambiental, territorial y sectorial.</t>
  </si>
  <si>
    <t>OBJETIVOS INSTITUCIONALES</t>
  </si>
  <si>
    <t>PRODUCTOS PROYECTO: FORTALECIMIENTO DE LA GESTIÓN DEL CONOCIMIENTO HIDROLÓGICO, METEOROLÓGICO, CLIMÁTICO Y AMBIENTAL</t>
  </si>
  <si>
    <t>SUBDIRECCIÓN DE ESTUDIOS AMBIENTALES</t>
  </si>
  <si>
    <t>Publicaciones periódicas: Informe del estado del ambiente y de los recursos naturales, calidad del aire, RESPEL.</t>
  </si>
  <si>
    <t>ACTIVIDAD CUATRIENIO</t>
  </si>
  <si>
    <t>INDICADOR</t>
  </si>
  <si>
    <t>TOTAL</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</si>
  <si>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</si>
  <si>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</si>
  <si>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</si>
  <si>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</si>
  <si>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</si>
  <si>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</si>
  <si>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ESTRATEGIA 2. Ordenamiento integral del territorio para el desarrollo sostenible</t>
  </si>
  <si>
    <t>ACTIVIDADES PLAN NACIONAL DE DESARROLLO RELACIONADAS CON IDEAM</t>
  </si>
  <si>
    <t>INDICADOR INSTITUCIONAL PARA EL CUATRIENIO</t>
  </si>
  <si>
    <t>DEPENDENCIA RESPONSABLE IDEAM</t>
  </si>
  <si>
    <t xml:space="preserve">OBJETIVO 2 PND 2015-2018: Proteger y asegurar el uso sostenible del capital natural y mejorar la calidad y la gobernanza ambiental.
</t>
  </si>
  <si>
    <t>ESTRATEGIA 3. Mejorar la calidad ambiental a partir del fortalecimiento del desempeño ambiental de los sectores productivos, buscando mejorar su competitividad</t>
  </si>
  <si>
    <t xml:space="preserve">Acción: </t>
  </si>
  <si>
    <t>OBJETIVO 2 PND 2015-2018: Proteger y asegurar el uso sostenible del capital natural y mejorar la calidad y la gobernanza ambiental.</t>
  </si>
  <si>
    <t xml:space="preserve">Boletines producidos con estándares y calidad de datos.
</t>
  </si>
  <si>
    <t xml:space="preserve">Laboratorios acreditados y/o Autorizados
</t>
  </si>
  <si>
    <t xml:space="preserve">Documentos entregables producidos
</t>
  </si>
  <si>
    <t>Documentos  de investigación publicados.</t>
  </si>
  <si>
    <t>POA 2016 - PROYECTO DE INVERSIÓN</t>
  </si>
  <si>
    <t>Documentos técnicos para sustentar decisiones sobre ordenamiento del territorio, atendiendo la relación entre degradación de ecosistemas.</t>
  </si>
  <si>
    <t xml:space="preserve">Documentos técnicos para sustentar decisiones sobre uso, aprovechamiento y gestión del medio ambiente y de los recursos naturales renovables. </t>
  </si>
  <si>
    <t>Laboratorios ambientales acreditados y organizaciones autorizadas para realizar medición de emisiones por fuentes móviles.</t>
  </si>
  <si>
    <t>Documentos técnicos para sustentar decisiones sobre ordenamiento y planificación territorial, para mitigar y lograr adaptación ante el cc.</t>
  </si>
  <si>
    <t>Gestion del conocimiento en calidad del aire</t>
  </si>
  <si>
    <t xml:space="preserve">Subsistema de Información de Calidad del Aire, SISAIRE. </t>
  </si>
  <si>
    <t>ACTIVIDAD POA 2016</t>
  </si>
  <si>
    <t>Registros para la recolección de información relacionada con el uso y aprovechamiento de los recursos naturales renovables</t>
  </si>
  <si>
    <t>Formulación e implementación de instrumentos de ordenamiento integral del territorio.</t>
  </si>
  <si>
    <t>* Documento de Análisis y oientaciones para  zonificación por regiones y conflictos ambientales
* Mapas de conflicto de uso de los recursos naturales por región</t>
  </si>
  <si>
    <t>VI. Sostenibilidad ambiental y prevención del riesgo</t>
  </si>
  <si>
    <t>A. Gestión ambiental integrada y compartida</t>
  </si>
  <si>
    <t>Gestión Integral del Recurso Hídrico</t>
  </si>
  <si>
    <t>Mejorar el conocimiento de la oferta y la demanda</t>
  </si>
  <si>
    <t>Estrategia institucional y financiera de la red hidrometeorológica, aprobado por CONPES</t>
  </si>
  <si>
    <t>En materia de gestión integral de residuos peligrosos: (1) se fortalecerá el seguimiento y control por parte de las autoridades ambientales a los diferentes actores involucrados</t>
  </si>
  <si>
    <t>Registro de establecimientos en RUA, RESPEL, PCB, RETC.</t>
  </si>
  <si>
    <t xml:space="preserve">Registros anuales, activos con seguimiento y reportes.
</t>
  </si>
  <si>
    <t xml:space="preserve">Registros para la recolección de información relacionada con el uso y aprovechamiento de los recursos naturales renovables. </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</si>
  <si>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</si>
  <si>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</si>
  <si>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</si>
  <si>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</si>
  <si>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y análizar los datos de Generadores de Residuos o Desechos Peligrosos correspondientes al 2014-2015 y apoyar la construcción del informe nacional de Generación y Manejo de Residuos o Desechos Peligrosos – RESPEL (2013-2014-2015)</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</si>
  <si>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</si>
  <si>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</si>
  <si>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</si>
  <si>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</si>
  <si>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Informes elaborados</t>
  </si>
  <si>
    <t>Documentos elaborados</t>
  </si>
  <si>
    <t>Registros anuales, activos con seguimiento y reportes.</t>
  </si>
  <si>
    <t xml:space="preserve">Generar informacón relevante para el conocimiento del cambio climático en colombia </t>
  </si>
  <si>
    <t>Documentoos generados</t>
  </si>
  <si>
    <t>Planes de adaptacion y mitigacion  para el cambio climàtico en las regiones</t>
  </si>
  <si>
    <t>Estrategia 3: Mejorar la calidad ambiental a partir del fortalecimiento del desempeño ambiental de los sectores productivos, buscando mejorar su competitividad.</t>
  </si>
  <si>
    <t>Acción: Gestión integral del recurso hídrico.</t>
  </si>
  <si>
    <t>Elaborar las Evaluaciones Regionales del Agua (ERA).</t>
  </si>
  <si>
    <t>Estudio Nacional del agua 2018.</t>
  </si>
  <si>
    <t>Documento elaborado y publicado.</t>
  </si>
  <si>
    <t>Subdirección de Hidrología</t>
  </si>
  <si>
    <t>Efectuar monitoreo y seguimiento a las condiciones hidrometeorológicas y ambientales del País.</t>
  </si>
  <si>
    <t>Elaboración de la  metodología de identificación y delimitación de zonas de recarga de sistemas acuíferos en el marco del Programa Nacional de Aguas Subterráneas</t>
  </si>
  <si>
    <t>Documento elaborado</t>
  </si>
  <si>
    <t xml:space="preserve">Escenarios hidrológicos relacionados con variables de: oferta, demanda, calidad, sedimentos y riesgo hidrológico. </t>
  </si>
  <si>
    <t>Caracterización de la dinamica de sedimentos en diez subzonas hidrográficas.</t>
  </si>
  <si>
    <t>Fortalecer los sistemas de información ambiental a cargo del IDEAM.</t>
  </si>
  <si>
    <t>Desarrollo de Modelo Hidrosedimentológico para una Subzona de la Orinoquia</t>
  </si>
  <si>
    <t>Implementar el Programa Nacional de Monitoreo del Recurso Hídrico.</t>
  </si>
  <si>
    <t>Información hidrológica actualizada en variables de nivel, caudal, sedimentos y calidad del agua y protocolo del agua.</t>
  </si>
  <si>
    <t>Estadísticas actualizadas año a año de variables hidrológicas de cantidad y calidad.</t>
  </si>
  <si>
    <t xml:space="preserve">Actualización y Control de calidad del dato hidrológico en el Banco de Datos (IDEAM - BOGOTA) </t>
  </si>
  <si>
    <t>Reporte elaborado</t>
  </si>
  <si>
    <t>Datos climáticos e hidrometeorológicos.</t>
  </si>
  <si>
    <t>Protocolo del agua publicado.</t>
  </si>
  <si>
    <t>Consolidar información de la red y el programa  nacional de aguas subterraneas.</t>
  </si>
  <si>
    <t>Reporte anual elaborado.</t>
  </si>
  <si>
    <t>Inventario de puntos de agua subterránea para la Orinoquia</t>
  </si>
  <si>
    <t>Consolidación de resultados de monitoreo y fortalecimiento de la Red Básica Nacional e Isotópica de Aguas Subterráneas.</t>
  </si>
  <si>
    <t>Acreditación del laboratorio de calidad ambiental.</t>
  </si>
  <si>
    <t>Documento con avances en  proceso de acreditación.</t>
  </si>
  <si>
    <t>Plan estrategico del Laboratorio de Calidad Ambiental</t>
  </si>
  <si>
    <t>Información generada a partir del seguimiento y monitoreo a la calidad del agua.</t>
  </si>
  <si>
    <t>Reporte consolidado de información validada de la red de monitoreo e indicadores de Calidad del Agua</t>
  </si>
  <si>
    <t>Monitoreo nacional de la calidad del agua.</t>
  </si>
  <si>
    <t>Documento con análisis fisicoquímicos y bioindicación de calidad del agua del IDEAM.</t>
  </si>
  <si>
    <t>Consolidar información de la red de monitoreo de calidad del agua.</t>
  </si>
  <si>
    <t>Reporte anual consolidado.</t>
  </si>
  <si>
    <t xml:space="preserve">Fortalecer y poner en marcha el Centro Nacional de Modelación Hidrometeorológica. </t>
  </si>
  <si>
    <t>Mapas de crecientes subitas en dos departamentos.</t>
  </si>
  <si>
    <t>Mapas  elaborados y divulgados.</t>
  </si>
  <si>
    <t>Integración de herramientas hidrológicas para pronósticos y alertas por inundación en el bajo Magdalena</t>
  </si>
  <si>
    <t xml:space="preserve">Mapas  elaborados </t>
  </si>
  <si>
    <t>Insumos técnicos para modelación hidrometeorológica.</t>
  </si>
  <si>
    <t>Documento con insumos técnicos desarrollados para modelación.</t>
  </si>
  <si>
    <t>Componente hidrológico del sistema de alertas tempranas del IDEAM fortalecido.</t>
  </si>
  <si>
    <t>Modelos integrados FEWS.</t>
  </si>
  <si>
    <t>Modelos Integrados FEWS</t>
  </si>
  <si>
    <t xml:space="preserve">Mapas de amenaza por inundación </t>
  </si>
  <si>
    <t>Implemnetación del plan estratégico del centro nacional de modelación.</t>
  </si>
  <si>
    <t>Reporte anual de actividades del centro nacional de modelación.</t>
  </si>
  <si>
    <t>Formulación  del plan estratégico del Centro Nacional de Modelación e Insumos técnicos para modelación hidrometeorológica.</t>
  </si>
  <si>
    <t>Estrategia 5: Fortalecimiento institucional y gobernanza, para optimizar el desempeño del SINA, la educación e investigación y la generación de información y conocimiento ambiental.</t>
  </si>
  <si>
    <t>Acción: Generación de información y conocimiento en materia ambiental.</t>
  </si>
  <si>
    <t>Consolidar el Sistema de Información Ambiental (SIAC) desarrollando un geo-portal, un sistema de consulta de bases de datos y el programa nacional de monitoreo ambiental direccionado por el MADS y coordinado por los institutos de investigación del SINA.</t>
  </si>
  <si>
    <t>Nodos regionales del SIRH implementados.</t>
  </si>
  <si>
    <t>Nodos regionales del SIRH operando.</t>
  </si>
  <si>
    <t>Ajuste de contenidos temáticos y fortalecimiento de nodos regionales y fortalecimiento de capacidades del SIRH</t>
  </si>
  <si>
    <t xml:space="preserve">Aplicativos para el almacenamiento, reporte y visualización de la información hidrológica de oferta, demanda, calidad y riesgos. </t>
  </si>
  <si>
    <t>Capacitaciones para el fortalecimiento de las capacidades regionales para la gestión de información asociada al agua.</t>
  </si>
  <si>
    <t>Capacitaciones realizadas y evaluadas.</t>
  </si>
  <si>
    <t>Numero de talleres y actividades de capacitación realizados</t>
  </si>
  <si>
    <t xml:space="preserve">Eventos sobre temáticas hidrológicas, meteorológicas, ambientales y climáticas y demás estrategias que fortalecen la transmisión de conocimiento. </t>
  </si>
  <si>
    <t>Formular una agenda de investigación ambiental integrada al Sistema de Ciencia, Tecnología e Innovación, bajo el liderazgo de los institutos de investigación.</t>
  </si>
  <si>
    <t>Plan de investigación del IDEAM formulado e implementado.</t>
  </si>
  <si>
    <t>Plan de investigación implementado.</t>
  </si>
  <si>
    <t>Robustecer la capacidad, administrativa y financiera del Instituto para el cumplimiento efectivo de los objetivos previstos en la norma.</t>
  </si>
  <si>
    <t>Instituto articulado con instancias interinstitucionales e internacionales en la temática de gestión de información.</t>
  </si>
  <si>
    <t>SUBDIRECCIÓN DE HIDROLOGÍA</t>
  </si>
  <si>
    <t>Objetivo 1: Avanzar hacia un crecimiento sostenible y bajo en carbono.</t>
  </si>
  <si>
    <t>Estrategia 1: Impulsar la transformación de sectores hacia sendas más eficientes y de bajo carbono.</t>
  </si>
  <si>
    <t>Acción: Producción agropecuaria en áreas de vocación, ganadería intensiva con sistemas silvopastoriles y uso eficiente del agua.</t>
  </si>
  <si>
    <t>Generar información climática para la planificación eficiente en el sector agropecuario.</t>
  </si>
  <si>
    <t>Servicios climáticos  a los diferentes sectores productivos (hidrocarburos, minería, vivienda, transporte, agropecuario) y  consolidar  información especializada por sector.</t>
  </si>
  <si>
    <t>Boletines producidos con estándares y calidad de datos.</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</si>
  <si>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</si>
  <si>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</si>
  <si>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</si>
  <si>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 xml:space="preserve">Modelos de predicciones mensuales estacionales estadísticas con reducción de incertidumbre a nivel local. </t>
  </si>
  <si>
    <t>Efecto de la variabilidad climática en los  cambios de los regimenes de precipitación</t>
  </si>
  <si>
    <t xml:space="preserve">Documento de análisis producido.
</t>
  </si>
  <si>
    <t>Elaborar el  estudio de la alteración de la precipitación bajo diferentes indicadores de variabilidad climática propuestos por la NOAA</t>
  </si>
  <si>
    <t xml:space="preserve">Informe sobre Estructura de   los indicadores y las bases de datos en el contexto.
</t>
  </si>
  <si>
    <t>Acción: Gestión de la información y el conocimiento en cambio climático.</t>
  </si>
  <si>
    <t xml:space="preserve">RECURSOS INVERSIÓN </t>
  </si>
  <si>
    <t>Fortalecer  la modelación del tiempo para el análisis de sus implicaciones en las alertas hidrometeorológicas.</t>
  </si>
  <si>
    <t>Modelos de pronóstico del tiempo en alta resolución operando a 15 Km.</t>
  </si>
  <si>
    <t xml:space="preserve">Modelos alta resolución operando a 15 Km.
</t>
  </si>
  <si>
    <t>Generar modelos de pronóstico del tiempo en alta resolución operando a 15 Km.</t>
  </si>
  <si>
    <t xml:space="preserve">Modelos de pronóstico diario del estado del tiempo en alta resolución espacial. </t>
  </si>
  <si>
    <t>Aeropuertos con Reportes  entregados a OACI y OMM de meteorología a la aeronavegación  a nivel nacional e internacional.</t>
  </si>
  <si>
    <t>Aeropuertos con reportes entregados  con estándares y calidad de datos</t>
  </si>
  <si>
    <t>Prestar servicios de meteorología a la aeronavegación  a nivel nacional e internacional.</t>
  </si>
  <si>
    <t>Fortalecer la modelación del clima para el análisis de sus implicaciones a nivel sectorial.</t>
  </si>
  <si>
    <t>Modelos de predicción del clima en alta resolución operando a 10 Km.</t>
  </si>
  <si>
    <t xml:space="preserve">Modelos  en alta resolución operando a 10 Km..
</t>
  </si>
  <si>
    <t xml:space="preserve">Modelo en alta resolución operando a 10 Km.
</t>
  </si>
  <si>
    <t xml:space="preserve">Modelos de predicciones mensuales estacionales dinámicas en alta resolución espacial. </t>
  </si>
  <si>
    <t>Manual de usuario para clúster.</t>
  </si>
  <si>
    <t>Manual elaborado, probado y disponible.</t>
  </si>
  <si>
    <t>Objetivo 3 PND 2015-2018: Lograr un crecimiento resiliente y reducir la vulnerabilidad frente a los riesgos de desastres y al cambio climático.</t>
  </si>
  <si>
    <t>Estrategia 2: Fortalecer la planificación del desarrollo con criterios de adaptación al cambio climático.</t>
  </si>
  <si>
    <t>Acción: Gestión del conocimiento respecto al proceso de cambio climático y sus impactos.</t>
  </si>
  <si>
    <t xml:space="preserve">Construir escenarios de cambio climático nacional y regional.
</t>
  </si>
  <si>
    <t>Generar escenarios nacionales y regionales de cambio climático.</t>
  </si>
  <si>
    <t xml:space="preserve">Número de escenarios de cambio climático generados.
</t>
  </si>
  <si>
    <t xml:space="preserve">Nota Tecnica sobre evidencias de cambio climático
</t>
  </si>
  <si>
    <t>Evidencias de cambio climático</t>
  </si>
  <si>
    <t xml:space="preserve">Documento de investigación elaborado.
</t>
  </si>
  <si>
    <t>Análisis de eventos extremos</t>
  </si>
  <si>
    <t xml:space="preserve">Estructura de los datos para los algoritmos de eventos extremos.
</t>
  </si>
  <si>
    <t>Estudio sobre la sequia en Colombia</t>
  </si>
  <si>
    <t>Nota Tecnica  sobre la sequia en Colombia</t>
  </si>
  <si>
    <t>Grupo de Operación de Redes Ambientales</t>
  </si>
  <si>
    <t>Estaciones con control de calidad y con informacion de precipitacion las 24 horas</t>
  </si>
  <si>
    <t>Datos diarios de precipitación y temperaturas para el periodo 1974-2014</t>
  </si>
  <si>
    <t xml:space="preserve">Realizar los Estudios de Variabilidad climática en el contexto de cambio climático </t>
  </si>
  <si>
    <t>Escenarios de cambio climático</t>
  </si>
  <si>
    <t>Actualizar variables metereologicas del banco de datos.</t>
  </si>
  <si>
    <t xml:space="preserve">Estrategia 1: Fortalecer los procesos de la gestión del riesgo: conocimiento, reducción y manejo.  </t>
  </si>
  <si>
    <t>Fortalecer el sistema de monitoreo y de alertas tempranas.</t>
  </si>
  <si>
    <t>Datos hidrometeorológicos capturados, procesados y validados.</t>
  </si>
  <si>
    <t>Estaciones actualizadas tecnológicamente.</t>
  </si>
  <si>
    <t>Actualizar tecnológicamente la red de estaciones hidrometeorológicas del Instituto.</t>
  </si>
  <si>
    <t>Estaciones actualizadas.</t>
  </si>
  <si>
    <t xml:space="preserve">Estaciones hidrometeorológicas. </t>
  </si>
  <si>
    <t>Actualizar el banco de datos hidrometeorológicos.</t>
  </si>
  <si>
    <t>Meses de datos procesados</t>
  </si>
  <si>
    <t>Estaciones sinópticas automatizadas.</t>
  </si>
  <si>
    <t>Actualizar tecnológicamente  estaciones sinópticas en aeropuertos del País.</t>
  </si>
  <si>
    <t xml:space="preserve">Estaciones sinópticas actualizadas. </t>
  </si>
  <si>
    <t>Estaciones meteorológicas reubicadas.</t>
  </si>
  <si>
    <t xml:space="preserve">Reubicar estaciones meteorológicas. </t>
  </si>
  <si>
    <t>Laboratorio de calibración implementado.</t>
  </si>
  <si>
    <t>Implementar las acciones establecidas en el diagnóstico entregado en el 2014 por el Instituto Nacional de Metrología.</t>
  </si>
  <si>
    <t>Acciones implementadas</t>
  </si>
  <si>
    <t>Plan Estrategico Red Hidrologica, Meteorologica y Ambiental  del IDEAM</t>
  </si>
  <si>
    <t>Elaborar el Plan Estratégico de la Red Hidrológica, Meteorológica y Ambiental del IDEAM</t>
  </si>
  <si>
    <t>Documento elaborado.</t>
  </si>
  <si>
    <t>Productos temáticos generados.</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</si>
  <si>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</si>
  <si>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Mapa nacional de cobertura boscosa, mapa de cambio de la cobertura boscosa, alertas nacionales de deforestación.</t>
  </si>
  <si>
    <t>Mapas elaborados y divulgados.</t>
  </si>
  <si>
    <t>Subdirección de Ecosistemas e Información Ambiental</t>
  </si>
  <si>
    <t>Fortalecer el programa de seguimiento y monitoreo de bosques</t>
  </si>
  <si>
    <t>Monitoreo y seguimiento del estado de los suelos y las tierras.</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</si>
  <si>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</si>
  <si>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Inventario Forestal Nacional implementado gradualmente.</t>
  </si>
  <si>
    <t xml:space="preserve">Implementación  gradual del Inventario Forestal Nacional.
</t>
  </si>
  <si>
    <t>Porcentaje de implementación del IFN</t>
  </si>
  <si>
    <t>Consolidar el programa de monitoreo y seguimiento de los suelos y las tierras.</t>
  </si>
  <si>
    <t>Línea base de degradación de suelos</t>
  </si>
  <si>
    <t xml:space="preserve">Línea base de degradación de suelos elaborada.  </t>
  </si>
  <si>
    <t>Fortalecer el programa de seguimiento y monitoreo de los suelos y las tierras</t>
  </si>
  <si>
    <t>Actualización de información y programa para pronostico de amenaza por deslizamientos</t>
  </si>
  <si>
    <t>Programa elaborado para pronostico de amenaza por deslizamientos.</t>
  </si>
  <si>
    <t>Estrategia 2: Ordenamiento integral del territorio para el desarrollo sostenible.</t>
  </si>
  <si>
    <t>Acción: Unificación de lineamientos para el ordenamiento integral del territorio.</t>
  </si>
  <si>
    <t xml:space="preserve">Programa de monitoreo de los ecosistemas del país
</t>
  </si>
  <si>
    <t xml:space="preserve">Programa de seguimiento, monitoreo y evaluación de los ecosistemas continentales,  y sus servicios ecosistémicos.
</t>
  </si>
  <si>
    <t>Productos temáticos generados como insumo para consolidar el programa de monitoreo de ecosistemas</t>
  </si>
  <si>
    <t>Fortalecer el seguimiento y monitoreo de los ecosistemas y sus servicios ecosistémicos</t>
  </si>
  <si>
    <t>Sistema de monitoreo, seguimiento y evaluación de los ecosistemas y servicios ecosistémicos  de Colombia.</t>
  </si>
  <si>
    <t xml:space="preserve">documento y un nuevo desarrollo: producto asiociado al  cubo de datos.(2).  Waves hoja de ruta pedir a claudia </t>
  </si>
  <si>
    <t>SIAC fortalecido y permitiendo el acceso y uso de la información ambiental generada por el SINA para los procesos de toma de decisiones.</t>
  </si>
  <si>
    <t xml:space="preserve">Productos temáticos generados de SIAC.
</t>
  </si>
  <si>
    <t>Fortalecer el SIAC y el SIA del Ideam</t>
  </si>
  <si>
    <t xml:space="preserve">Sistema de Información Ambiental consolidado. </t>
  </si>
  <si>
    <t xml:space="preserve">Subsistemas interoperando en el marco de SIAC.
</t>
  </si>
  <si>
    <t>Servicios  de información diseñados.</t>
  </si>
  <si>
    <t>Pronósticos del tiempo y productos desarrollados a partir del modelo del centro europeo.</t>
  </si>
  <si>
    <t xml:space="preserve">Pronósticos elaborados. 
</t>
  </si>
  <si>
    <t>Seguimiento a las condiciones meteorológicas extremas dadas por la probable ocurrencia de tormentas eléctricas.</t>
  </si>
  <si>
    <t xml:space="preserve">Boletines elaborados en los que se incluye información sobre descargas eléctricas.
</t>
  </si>
  <si>
    <t>Integrar al SNIGRD la información necesaria y adecuada para la toma de decisiones, con el fin de facilitar su acceso por parte de los sectores y territorios para avanzar en el conocimiento del riesgo, principalmente con fines de ordenamiento.</t>
  </si>
  <si>
    <t>Pronósticos y alertas hidrometeorológicas de manera continua (24 horas al día) y asesoramiento a entidades del SINA y del SNGRD.</t>
  </si>
  <si>
    <t>Boletines elaborados con estándares y calidad de datos.</t>
  </si>
  <si>
    <t>Entidades asesoradas del SINA y SNGRD.</t>
  </si>
  <si>
    <t>Pronósticos especializados a sectores productivos.</t>
  </si>
  <si>
    <t>Boletines elaborados de pronósticos emitidos a sectores especializados.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</si>
  <si>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</si>
  <si>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</si>
  <si>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</si>
  <si>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</si>
  <si>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</si>
  <si>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</si>
  <si>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Boletines de pronósticos emitidos a sectores especializados</t>
  </si>
  <si>
    <t>Radares banda X.</t>
  </si>
  <si>
    <t xml:space="preserve">Centros regionales de pronóstico. </t>
  </si>
  <si>
    <t>OFICINA DEL SERVICIO DE PRONÓSTICOS Y ALERTAS</t>
  </si>
  <si>
    <t>Fortalecer las capacidades de los institutos de investigación del SINA para aportar en el proceso de toma de decisiones.</t>
  </si>
  <si>
    <t>Herramientas informáticas para las áreas misionales (SIA) implementadas y en operación.</t>
  </si>
  <si>
    <t xml:space="preserve">Aplicativos probados e implementados.
</t>
  </si>
  <si>
    <t>Herramientas informáticas para la gestión de apoyo implementadas y en operación.</t>
  </si>
  <si>
    <t>Plataforma tecnológica disponible.</t>
  </si>
  <si>
    <t>Disponibilidad igual o mayor al 99%.</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</si>
  <si>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</si>
  <si>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</si>
  <si>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</si>
  <si>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</si>
  <si>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</si>
  <si>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</si>
  <si>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</si>
  <si>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</si>
  <si>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</si>
  <si>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</si>
  <si>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Porcentaje de cumplimiento de implementación del manual GEL.</t>
  </si>
  <si>
    <t>Capacidad técnica y tecnológica para la recepción, almacenamiento, transformación y publicación de los datos recibidos de las estaciones.</t>
  </si>
  <si>
    <t>OFICINA DE INFORMÁTICA</t>
  </si>
  <si>
    <t xml:space="preserve">Asegurar la sostenibilidad del Sistema de Gestión  Integral de la Entidad. </t>
  </si>
  <si>
    <t>Informe de auditoria al SGI (seguimiento).</t>
  </si>
  <si>
    <t>Oficina Asesora de Planeación</t>
  </si>
  <si>
    <t>Asegurar la sostenibilidad del Sistema de Gestión Integral de la Entidad.</t>
  </si>
  <si>
    <t xml:space="preserve">Sistemas de gestión de calidad. </t>
  </si>
  <si>
    <t>Informe de auditoria al SGI (recertificación).</t>
  </si>
  <si>
    <t>DEPENDENCIA</t>
  </si>
  <si>
    <t>TOTAL INVERSIÓN</t>
  </si>
  <si>
    <t>Subdirección de Ecosistemas</t>
  </si>
  <si>
    <t>Grupo Operación de Redes</t>
  </si>
  <si>
    <t>Oficina de Pronósticos</t>
  </si>
  <si>
    <t>Secretaría General</t>
  </si>
  <si>
    <t>ASIGNACIÓN INVERSIÓN</t>
  </si>
  <si>
    <t>DIFERENCIAS</t>
  </si>
  <si>
    <t>SUBDIRECCION DE ECOSISTEMAS</t>
  </si>
  <si>
    <t>SUBDIRECCIÓN DE METEOROLOGÍA</t>
  </si>
  <si>
    <t>Fortalecer las capacdades de los Institutos de investigación del SINA para aportar en el proceso de toma de decisiones.</t>
  </si>
  <si>
    <t>Instituto fortalecido en su infraestructura física.</t>
  </si>
  <si>
    <t>Formular el Plan de Infraestructura.</t>
  </si>
  <si>
    <t>Sedes adecuadas a infraestructura.</t>
  </si>
  <si>
    <t>Información entregada a usuarios internos y externos para contribuir a la mitigación del riesgo.</t>
  </si>
  <si>
    <t>Plan Institucional de Posicionamiento.</t>
  </si>
  <si>
    <t>Videos de pronóstico diario del tiempo producidos.</t>
  </si>
  <si>
    <t>Eventos de rendición de cuentas realizados.</t>
  </si>
  <si>
    <t>Personal capacitado y comprometido con el cumplimiento de la misión institucional.</t>
  </si>
  <si>
    <t xml:space="preserve">Formular el Plan Estratégico de Recursos Humanos: que contenga políticas   y parámetros de operación para el diseño del PIC, Plan de Bienestar e Incentivos, Evaluación de Desempeño.
</t>
  </si>
  <si>
    <t>% cumplimiento del Plan Institucional de Capacitación, PIC.</t>
  </si>
  <si>
    <t xml:space="preserve">Recurso humano capacitado. </t>
  </si>
  <si>
    <t xml:space="preserve">% cumplimiento del Programa de Bienestar Social.
</t>
  </si>
  <si>
    <t>% cumplimiento del Programa de Estímulos e Incentivos.</t>
  </si>
  <si>
    <t>Ejecución del Plan Estratégico</t>
  </si>
  <si>
    <t xml:space="preserve">Actualización Estudio Técnico -Fortalecimiento Institucional
</t>
  </si>
  <si>
    <t>IDEAM dotado de los bienes y servicios necesarios para que los usuarios accedan a la información que genera la Entidad.</t>
  </si>
  <si>
    <t xml:space="preserve"> Identficación de necesidades a nivel institucional</t>
  </si>
  <si>
    <t>Laboratorio construido</t>
  </si>
  <si>
    <t>SECRETARÍA GENERAL</t>
  </si>
  <si>
    <t>FUNCIONAMIENTO POA</t>
  </si>
  <si>
    <t>FUNCIONAMIENTO DESAGREGACIÓN ANEXO RESOLUCIÓN DE INCORPORACIÓN</t>
  </si>
  <si>
    <t>Servicios personales indirectos más gastos generales</t>
  </si>
  <si>
    <t>Servicios personales asociados a la nómina</t>
  </si>
  <si>
    <t>Total funcionamiento 2015</t>
  </si>
  <si>
    <t>Construcción Laboratorio Calidad Ambiental - Bogotá</t>
  </si>
  <si>
    <t>TOTAL FUNCIONAMIENTO</t>
  </si>
  <si>
    <t xml:space="preserve">TOTAL INVERSIÓN </t>
  </si>
  <si>
    <t>TOTAL PRESUPUESTO 2016</t>
  </si>
  <si>
    <t>GRUPO OPERACIÓN DE REDES</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</si>
  <si>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</si>
  <si>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</si>
  <si>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</si>
  <si>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</si>
  <si>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</si>
  <si>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</si>
  <si>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Brindar soporte técnico, jurídico, administrativo y financiero al proyecto de inversión del IDEAM</t>
  </si>
  <si>
    <t>Soporte técnico, jurídicos, administrativo y financiero operando en el proyecto de inversión.</t>
  </si>
  <si>
    <t>Efectiva gestión del proyecto</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</si>
  <si>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</si>
  <si>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</si>
  <si>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Informe monitoreo de medios de comunicación del IDEAM elaborado</t>
  </si>
  <si>
    <t>Oferta, Hidrodinámica, dinámica de sedimentación, demanda, calidad del agua y riesgos asociados al agua caracterizados en dos áreas hidrográficas.</t>
  </si>
  <si>
    <t xml:space="preserve">Documentos con avances y productos  temáticos en áreas hidrográficas seleccionadas.
</t>
  </si>
  <si>
    <t>Cuota de auditaje contranal (D.G.)</t>
  </si>
  <si>
    <t>Instituto interamericano para la investigacion del cambio global -iai-contribucion voluntaria (ley 304/96)(D.G)</t>
  </si>
  <si>
    <t>Sentencias (D:G)</t>
  </si>
  <si>
    <t>Bloqueado</t>
  </si>
  <si>
    <t>Realizar actividades para fortalecer  el  grupo de investigación del Ideam reconocido por colciencias y desarrollar actividades para mejorar la investigación, del instituto de hidrología, meteorología y estudios ambientales Ideam</t>
  </si>
  <si>
    <t>Aplicativos probados e implementados</t>
  </si>
  <si>
    <t>Gestión para la implementación de radar meteorológico para el monitoreo y seguimiento de las lluvias en tiempo real.</t>
  </si>
  <si>
    <t>Informes de gestión adelantados</t>
  </si>
  <si>
    <t xml:space="preserve">Entidades asesoradas </t>
  </si>
  <si>
    <t>Documento preliminar con identificación de conflcitos de uso en la región de la Orinoquía.</t>
  </si>
  <si>
    <t>Documentos con elemenos de análisis para planear la implementación de un sistema de alertas tempranas de calidad de agua</t>
  </si>
  <si>
    <t xml:space="preserve">Documento elaborado </t>
  </si>
  <si>
    <t>Adquirir equipos multimedia para difusión contenidos digitales  comunicación interna y externa.</t>
  </si>
  <si>
    <t>Adquirir Hardware y Software, para divulgación Grupo de Comunicaciones.</t>
  </si>
  <si>
    <t>Elaborar, publicar y realizar el seguimiento del Plan Anticorrupción y de Atención al Ciudadano.</t>
  </si>
  <si>
    <t>Plan publicado e informe de seguimiento.</t>
  </si>
  <si>
    <t>Informe de avance</t>
  </si>
  <si>
    <t>Datos diferentes en Plan Indicativo Cuatrienal (Pàgina Web/Planeaciòn/Planes/Plan Estratègico Institucional/Plan Cuatrienal/V1.0 22ENE16/…). Son 4, 3 y 100%</t>
  </si>
  <si>
    <t>OFICINA DE CONTROL INTERNO</t>
  </si>
  <si>
    <t>SEGUIMIENTO PLAN OPERATIVO ANUAL - CORTE 30 JUNIO DE 2016</t>
  </si>
  <si>
    <t>Actividades con prioridad para seguimiento y anàlisis</t>
  </si>
  <si>
    <t>Datos diferentes en Plan Indicativo Cuatrienal (Pàgina Web/Planeaciòn/Planes/Plan Estratègico Institucional/Plan Cuatrienal/V1.0 22ENE16/…). Son 4, 3 y 100%.</t>
  </si>
  <si>
    <t>CGR-Hallazgo 16 auditorìa 2015</t>
  </si>
  <si>
    <t>Meta PND - CGR Hallazgo 6</t>
  </si>
  <si>
    <t>Meta PND - CGR Hallazgos 6 y 17-18 (el 17 y 18 -IFN- tienen alcance disciplinario y fiscal)</t>
  </si>
  <si>
    <t>El POA2016 V19AGT16 presenta un total de $113`488.629, con una disminuciòn de $12`000.000.</t>
  </si>
  <si>
    <t>El POA2016 V19AGT16 presenta un total de $4.671`902.628, con un aumento de $50`351.851.</t>
  </si>
  <si>
    <t>El POA2016 V19AGT16 presenta un total de $321`466.580, con un aumento de $1`000.000.</t>
  </si>
  <si>
    <t>idem</t>
  </si>
  <si>
    <t>El POA2016 V19AGT16 presenta un total de $6.278`665.570, con un aumento de $2.200`000.000.</t>
  </si>
  <si>
    <t>El POA2016 V19AGT16 presenta un total de $3.628`665.570, con un aumento de $1.100`000.000.</t>
  </si>
  <si>
    <t>El POA2016 V19AGT16 presenta un total de $2.650`000.000, con un aumento de $1.100`000.000.</t>
  </si>
  <si>
    <t>El POA2016 V19AGT16 presenta un total de $25`634.661, con una disminuciòn de $38`351.851.</t>
  </si>
  <si>
    <t>El POA2016 V19AGT16 presenta un total de $2.518`278.993, con una disminuciòn de $2.201`000.000.</t>
  </si>
  <si>
    <t>El POA2016 V19AGT16 presenta un total de $0, con una disminuciòn de $1.100`000.000.</t>
  </si>
  <si>
    <t>El POA2016 V19AGT16 presenta un total de $2.518`278.993, con una disminuciòn de $1.101`000.000.</t>
  </si>
  <si>
    <t>Aumentos y disminuciones en POA2016 V19AGT16</t>
  </si>
  <si>
    <t>PRODUCTOS</t>
  </si>
  <si>
    <t>RECURSOS EJECUTADOS</t>
  </si>
  <si>
    <t>INFORME DEL AREA -31 AGOSTO 2016</t>
  </si>
  <si>
    <r>
      <t xml:space="preserve">Seguimiento OCI Agosto 2016 </t>
    </r>
    <r>
      <rPr>
        <b/>
        <sz val="12"/>
        <color rgb="FFFF0000"/>
        <rFont val="Arial"/>
        <family val="2"/>
      </rPr>
      <t>(Avance proporcional 67%)</t>
    </r>
  </si>
  <si>
    <t>SEGUIMIENTO PLAN OPERATIVO ANUAL</t>
  </si>
  <si>
    <t>Seguimiento OCI Agosto 2016 (Avance proporcional 67%)</t>
  </si>
  <si>
    <t xml:space="preserve">PRODUCTOS </t>
  </si>
  <si>
    <t>Datos diferentes (Plan Indicativo Cuatrienal (Pàgina Web/Planeaciòn/Planes/Plan Estratègico Institucional/Plan Cuatrienal/V1.0 22ENE16/…, u otros referentes).</t>
  </si>
  <si>
    <t>Datos modificados</t>
  </si>
  <si>
    <t>Pendiente soporte de $1`000.000</t>
  </si>
  <si>
    <t>CGR-Hallazgo 15, 16 auditorìa 2015</t>
  </si>
  <si>
    <t>Indicador direccionado por la ejecucion de recursos. Avance 80%.</t>
  </si>
  <si>
    <t xml:space="preserve">La actividad está centrada en apoyar a las áreas para la contratación de personal requerido. </t>
  </si>
  <si>
    <t>CGR-Hallazgo 16 y 14 auditorìa 2015</t>
  </si>
  <si>
    <t>Las metas de los 4 mapas estan alineadas con cooperaciòn internacional. En el documento PROGRAMACION DE CONTRATOS VIGENCIA 2016 (Hoja Programaciòn contrato-resumen) de la dependencia, se registran 13 contratos por $2.855`000.000, de los cuales hay 6 contratos sin iniciar por valor de $959`218.132.</t>
  </si>
  <si>
    <r>
      <rPr>
        <u/>
        <sz val="9"/>
        <color theme="1"/>
        <rFont val="Arial"/>
        <family val="2"/>
      </rPr>
      <t>JUN/16</t>
    </r>
    <r>
      <rPr>
        <sz val="9"/>
        <color theme="1"/>
        <rFont val="Arial"/>
        <family val="2"/>
      </rPr>
      <t xml:space="preserve">: *Se realizaron tres salidas de campo, dos al glaciar Conejeras en el volcán nevado Santa Isabel y una para el glaciar Ritacuba Blanco en la sierra nevada El Cocuy o Gücán. *Se avanzó en la documentación de 5 de las 22 planchas del bloque II, entregada al SGC para comentarios y observaciones. (Se puede consultar las evidencias en los Exp. 201610202705900099E y 201610202705900128E). *Generación de la versión preliminar del documento técnico de actualización de la clasificación (jerárquica y sistemática) a utilizar en campo para el establecimiento de la LB de degradación de suelos por salinización. *Generación de la versión preliminar del documento técnico con la propuesta del sistema de muestreo de suelos a utilizar en campo para el establecimiento de la LB de degradación de suelos por Salinización. *Se adelantaron los trabajos de campo para la zonificación de la degradación de suelos por salinización en los departamentos del Huila, Quindío, Valle del Cauca y Cauca. *Generación del documento técnico con los resultados de la identificación y evaluación de la información documental y cartográfica oficial disponible para la elaboración de la Línea base de degradación de suelos por salinización. * Generación del documento técnico preliminar del modelo lógico y cartográfico para la zonificación. </t>
    </r>
    <r>
      <rPr>
        <sz val="9"/>
        <color rgb="FFFF0000"/>
        <rFont val="Arial"/>
        <family val="2"/>
      </rPr>
      <t>Avance del 45%.</t>
    </r>
    <r>
      <rPr>
        <sz val="9"/>
        <color theme="1"/>
        <rFont val="Arial"/>
        <family val="2"/>
      </rPr>
      <t xml:space="preserve"> </t>
    </r>
    <r>
      <rPr>
        <u/>
        <sz val="9"/>
        <color theme="1"/>
        <rFont val="Arial"/>
        <family val="2"/>
      </rPr>
      <t>AGT/16</t>
    </r>
    <r>
      <rPr>
        <sz val="9"/>
        <color theme="1"/>
        <rFont val="Arial"/>
        <family val="2"/>
      </rPr>
      <t xml:space="preserve">: Mediante el contrato 092 IDEAM - UDCA, se avanzó en la elaboraración de los insumos técnicos para establecer la línea base de degradación de suelos por salinización en Colombia a escala 1:100.000, Fase II, con los siguientes productos a)Documento técnico del segundo informe de los trabajos de campo realizados en el área Hidrográfica Magdalena -  Cauca. b) Informe técnico consolidado de la información documental y cartográfica disponible para la elaboración de la línea base de degradación de suelos por salinización. c)Cobertura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d)Cobertura digital de los trabajos de campo y los resultados de los análisis fisicoquímicos de suelos y calidad de aguas, levantados en campo en la fase II, consolidado. e)Cobertura digital de avance de la zonificación de los procesos de degradación de suelos por salinización del área hidrográfica Magdalena Cauca, escala 1:100,000, formato Shape File y GDB. Los avances se pueden consultar en X:\Ecosistemas\1-SUELOS Y TIERRAS\2016\Info Suelos\Contrato 092 de 2016\Informes 2016\Informe Julio 2016. </t>
    </r>
    <r>
      <rPr>
        <sz val="9"/>
        <color rgb="FFFF0000"/>
        <rFont val="Arial"/>
        <family val="2"/>
      </rPr>
      <t>Avance del 65%.</t>
    </r>
  </si>
  <si>
    <r>
      <rPr>
        <u/>
        <sz val="9"/>
        <color theme="1"/>
        <rFont val="Arial"/>
        <family val="2"/>
      </rPr>
      <t>JUN/16</t>
    </r>
    <r>
      <rPr>
        <sz val="9"/>
        <color theme="1"/>
        <rFont val="Arial"/>
        <family val="2"/>
      </rPr>
      <t xml:space="preserve">: Cubo de datos: * Se definió protocolo de toma de muestras radiométricas en campo y se definieron fechas de salida de campo. * Se han descargado imágenes Landsat 7 del catálogo de USGS en nivel 1T en reflectancia de superficie para toda la cobertura nacional  de los años 2000-2001-2002-2003-2004-2005 (5612 imágenes). Por su parte se han ingestado al cubo imágenes para los años 2000-2001 y 2002. * Se realizó  instalación preliminar de la versión 2.0 del cubo de datos y se están revisando y ajustando las aplicaciones existentes. 
Mapa de Ecosistemas: * Se ajusto y estructuró la información base del mapa de ecosistemas, que comprende las capas de clima, geopedología y cobertura. Todo de acuerdo a los estándares cartográficos del IDEAM. * Se generó el primer cruce de información entre las capas de clima y geopedología; se revisó y editó la capa resultante. * Se realizaron acercamientos con el IAvH para la actualización de la capa de unidades bióticas. Los avances se pueden consultar en: D:\VANESSA_MONTAÑEZ\VANESSA-2016\MAPA_ECOSISTEMAS_1_100000_V2.0\MAPA\RESULTADOS. </t>
    </r>
    <r>
      <rPr>
        <sz val="9"/>
        <color rgb="FFFF0000"/>
        <rFont val="Arial"/>
        <family val="2"/>
      </rPr>
      <t xml:space="preserve">Avance del 40%. </t>
    </r>
    <r>
      <rPr>
        <u/>
        <sz val="9"/>
        <rFont val="Arial"/>
        <family val="2"/>
      </rPr>
      <t>AGT/16</t>
    </r>
    <r>
      <rPr>
        <sz val="9"/>
        <rFont val="Arial"/>
        <family val="2"/>
      </rPr>
      <t>: Cubo de datos: * Se realiza la primera salida de campo con IGAC para la toma de muestras espectrales en terreno en diferentes tipos de coberturas. En la sálida participaron profesionales de IDEAM e IGAC. *Se continua con el proceso de descarga de imágenes Landsat 7 del catálogo de USGS en nivel 1T en reflectancia de superficie para toda la cobertura nacional  de los años  2006 - 2014 (Aproximadamente 9300 imágenes descargadas en total). Por su parte se han ingestado al cubo imágenes para los años 2003 - 2004. * Se continuaron desarrollando pruebas en la versión 2.0 del cubo de datos.
Mapa de Ecosistemas: * Se generó el cruce del shape "clima y geopedología" con el el shape de "cobertura", se revisó y editó la capa resultante. Todo de acuerdo a los estándares cartográficos del IDEAM. * Para correr los procesos cartográficos, fué necesario dividir el shape en las cinco áreas hidrográficas del país. * Se incorporó la base de ecosistemas acuáticos de ambientes lóticos y lénticos, con el fin de mantener la información recopilada para la versión 1.0 del mapa y se verificó con la cobertura actual y las imágenes de satélite. * Se realizó la identificación de los ecosistemas síntesis, ecosistemas generales y la unidad síntesis de los ecosistemas para cada área hidrográfica. * Se generaron los Biomas generales y preliminares del mapa de ecosistemas versión 2.0. * Se asoció la información de las unidades bióticas del Instituto Humboldt entregada en octubre de 2015, para conformar los "Biomas-Unidades Bióticas". * Se cuenta con el resultado preliminar de los ecosistemas por área hidrográfica, el paso siguiente es la revisión de la consistencia Temática y la depuración de áreas pequeñas. * La actualización de los ecosistemas se realizará solamente de los ecosistemas continentales, debido a que el INVEMAR no cuenta con información mas actualizada de los ecosistemas marinos. Los avances se pueden consultar en: D:\VANESSA_MONTAÑEZ\VANESSA2016\MAPA_ECOSISTEMAS_1_100000_V2.0\MAPA\RESULTADOS.</t>
    </r>
    <r>
      <rPr>
        <sz val="9"/>
        <color rgb="FFFF0000"/>
        <rFont val="Arial"/>
        <family val="2"/>
      </rPr>
      <t>Avance del 60%.</t>
    </r>
  </si>
  <si>
    <t>Del total de los recursos $961`173.589, se registran contratos por valor de $931`200.666, de los cuales hay 3 sin iniciar ($183`692.154).</t>
  </si>
  <si>
    <t>Informes de bimestres MAY/JUN y JUL/AGT 2016</t>
  </si>
  <si>
    <r>
      <rPr>
        <u/>
        <sz val="9"/>
        <color theme="1"/>
        <rFont val="Arial"/>
        <family val="2"/>
      </rPr>
      <t>JUN/16</t>
    </r>
    <r>
      <rPr>
        <sz val="9"/>
        <color theme="1"/>
        <rFont val="Arial"/>
        <family val="2"/>
      </rPr>
      <t>: * Generación del boletín de alertas tempranas de deforestación del segundo semestre 2015 e impresión. * Generación de alertas tempranas de deforestación del primer trimestre 2016 - 90% avance. * Evaluación de la exactitud temática del mapa deforestación 2013 y 2014. * Reprocesamiento de imágenes landsat 2014 -2015 - avance 95%. * Respuesta a los evaluadores del anexo técnico del nivel de referencias de emisiones por deforestación.</t>
    </r>
    <r>
      <rPr>
        <sz val="9"/>
        <color rgb="FFFF0000"/>
        <rFont val="Arial"/>
        <family val="2"/>
      </rPr>
      <t xml:space="preserve"> Avance 45%.
</t>
    </r>
    <r>
      <rPr>
        <u/>
        <sz val="9"/>
        <color theme="1"/>
        <rFont val="Arial"/>
        <family val="2"/>
      </rPr>
      <t>AGT/16</t>
    </r>
    <r>
      <rPr>
        <sz val="9"/>
        <color theme="1"/>
        <rFont val="Arial"/>
        <family val="2"/>
      </rPr>
      <t xml:space="preserve">: * Versión preliminar de la estimación de la deforestación para el periodo 2014-2015 a nivel nacional, se realiza el proceso de revisón final de los resultados. El preprocesamiento,  procesamiento y generación del compuesto anual de deforestación para el 2015 está finalizado. *Generación de las Alertas Tempranas de Deforestación para el Primer y Segundo Trimestre de 2016 usando imágenes MODIS. * Generación de Alertas Tempranas de Deforestación para el área de interés de Corazón de la Amazonia usando imagenes Sentinel 1a y 1b. </t>
    </r>
    <r>
      <rPr>
        <sz val="9"/>
        <color rgb="FFFF0000"/>
        <rFont val="Arial"/>
        <family val="2"/>
      </rPr>
      <t>Avance 70%.</t>
    </r>
  </si>
  <si>
    <r>
      <rPr>
        <u/>
        <sz val="9"/>
        <color theme="1"/>
        <rFont val="Arial"/>
        <family val="2"/>
      </rPr>
      <t>JUN/16</t>
    </r>
    <r>
      <rPr>
        <sz val="9"/>
        <color theme="1"/>
        <rFont val="Arial"/>
        <family val="2"/>
      </rPr>
      <t xml:space="preserve">: * Se formalizaron los contratos de SINCHI e IIAP para la implementación del Inventario Forestal Nacional en la Amazonía y el Pacífico respectivamente. * Del 8 al 11 de junio se llevó a cabo el taller de entrenamiento con las brigadas que realizarán los levantamientos en las regiones Andina, Caribe y Orinoquia en el cual participaron 22 personas de las diferentes instituciones facilitadoras, el IAvH y el IDEAM con el fin de estandarizar métodos antes de iniciar los trabajos de campo. Dicho taller se realizó en Bogotá (parte teórica) y Guasca (parte práctica). * Se sostuvieron reuniones con funcionarios de la Dirección de consulta previa, de la Dirección de Asuntos Indígenas, Rom y Minorias y de la Dirección de Asuntos para Comunidades Negras, Afrocolombianas, Raizales y Palenqueras. Resultado de dichas jornadas de discusión desde las diferentes dependencias del Ministerio del Interior, se indicó que dada la naturaleza del IFN no se requiere realizar un proceso de consulta previa toda vez que su ejecución no implica una afectación a los territorios habitados por las comunidades y lo más importante porque con la implementación del IFN se está dando cumplimiento a uno de los objetivos misionales por los cuales fue creado el IDEAM. * Del 14 al 18 de junio en la estación experimental El trueno localizada en San josé del Guaviare, se llevó a cabo el taller de entrenamiento con las brigadas del Instituto SINCHI, al cual asistieron 22 personas, además del personal de las brigadas de la Fundación Orinoquia Biodiversa encargadas de realizar los levantamientos en la Orinoquia. Dicho taller se realizó previo al inicio de labores de campo para 2016 con el fin de estandarizar metodologías entre los asistentes. </t>
    </r>
    <r>
      <rPr>
        <sz val="9"/>
        <color rgb="FFFF0000"/>
        <rFont val="Arial"/>
        <family val="2"/>
      </rPr>
      <t xml:space="preserve">Avance 40%.
</t>
    </r>
    <r>
      <rPr>
        <u/>
        <sz val="9"/>
        <rFont val="Arial"/>
        <family val="2"/>
      </rPr>
      <t>AGT/16</t>
    </r>
    <r>
      <rPr>
        <sz val="9"/>
        <rFont val="Arial"/>
        <family val="2"/>
      </rPr>
      <t xml:space="preserve">: * Se han establecido sesenta y cuatro (64) conglomerados de parcelas a nivel nacional, regiones de los Andes, Caribe, Orinoquia, Amazonia y Pacífico y una (1) parcela permanente de una (1) hectárea, esta última en el Pacífico. * Del 25 de julio al 5 de agosto se llevó a cabo el taller de entrenamiento en aspectos relacionados con los procesos de aseguramiento de calidad en el marco de la implementación del IFN el cual contó con la participación de expertos del servicio forestal de EEUU. * Diseño de formularios de campo para el registro de información en la plataforma OpenForis. * 80% de la información levantada en 2015 migrada a la base de datos. * 81% de la información de conglomerados levantados en 2016 en base de datos. * Se realizaron reuniones de socialización del Inventario Forestal Nacional con el Ministerio de Agricultura y Desarrollo Rural en las que se presentó el proyecto, sus alcances, variables para las cuales se generará información y usos de la misma. </t>
    </r>
    <r>
      <rPr>
        <sz val="9"/>
        <color rgb="FFFF0000"/>
        <rFont val="Arial"/>
        <family val="2"/>
      </rPr>
      <t>Avance 60%.</t>
    </r>
  </si>
  <si>
    <t xml:space="preserve">Se modificò la meta del cuatrienio del 50% al 40% en relaciòn al producto esperado (PLAN INDICATIVO CUATRIENAL 2015-2018 -IDEAM), lo que produjo una rebaja en porcentaje de avance al 5% para 2016. En el desarrollo del proyecto se han identificado conglomerados y parcelas a nivel nacional, conforme los avances de los contratos que se han firmado (SINCHI e IIAP).
Indican un avance del 60%. </t>
  </si>
  <si>
    <t>Se cuenta con los siguientes documentos (productos):
1-Documento técnico del segundo informe de los trabajos de campo realizados en el área Hidrográfica Magdalena - Cauca.
2-Informe técnico consolidado de la información documental y cartográfica disponible para la elaboración de la línea base de degradación de suelos por salinización.
3-Cobertura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4-Cobertura digital de los trabajos de campo y los resultados de los análisis fisicoquímicos de suelos y calidad de aguas, levantados en campo en la fase II, consolidado.
5-Cobertura digital de avance de la zonificación de los procesos de degradación de suelos por salinización del área hidrográfica Magdalena Cauca, escala 1:100,000, formato Shape File y GDB.
Indican un avance del 65%.</t>
  </si>
  <si>
    <t>Se registran 3 contratos en ejecuciòn por $751`815.040. Uno de ellos es el contrato 92 del 01/ABR/16 por valor de $630`000.000 con UDCA,  cuyo objeto contractual es: Elaborar los insumos técnicos para establecer la línea base de degradación de suelos por salinización en Colombia a escala 1:100.000. Fase II. Hay una partida de $30`000.000 para contrataciòn directa sin ejecutar.</t>
  </si>
  <si>
    <r>
      <rPr>
        <u/>
        <sz val="9"/>
        <color theme="1"/>
        <rFont val="Arial"/>
        <family val="2"/>
      </rPr>
      <t>JUN/16</t>
    </r>
    <r>
      <rPr>
        <sz val="9"/>
        <color theme="1"/>
        <rFont val="Arial"/>
        <family val="2"/>
      </rPr>
      <t xml:space="preserve">: * Se contrató el web master del potal Web del SIAC. * Se realizó un taller con la Corportación Autónoma de la Meseta de Bucaramanga, donde se presentaron los servicios actuales del SIAC y se realizó una encuesta sobre los procesos de gestión de información ambiental y uso de subsistemas, a fin de avanzar en la estandarización del documento de lineamientos. * Se presentó a consideración y revisión del Comité Técnico del SIAC los documentos: Lineamientos para la generación y mantenimiento de sistemas de información ambiental, asociados al SIAC y Lineamientos y mecanismos para la disposición oportuna y eficiente de la información geográfica al Geovisor del SIAC, a fin de consolidar los documentos finales. * Elaboración y envío del Boletín del mes de junio del SIAC al listado de contactos y publicación en el portal Web. Evidencias dispuestas en: X:\Ecosistemas\POA2016\EVIDENCIAS POA 2016\NIDIA YNATALIA\EVIDENCIAS JUNIO. </t>
    </r>
    <r>
      <rPr>
        <sz val="9"/>
        <color rgb="FFFF0000"/>
        <rFont val="Arial"/>
        <family val="2"/>
      </rPr>
      <t>Avance 30%.</t>
    </r>
    <r>
      <rPr>
        <sz val="9"/>
        <color theme="1"/>
        <rFont val="Arial"/>
        <family val="2"/>
      </rPr>
      <t xml:space="preserve"> 
</t>
    </r>
    <r>
      <rPr>
        <u/>
        <sz val="9"/>
        <color theme="1"/>
        <rFont val="Arial"/>
        <family val="2"/>
      </rPr>
      <t>AGT/16</t>
    </r>
    <r>
      <rPr>
        <sz val="9"/>
        <color theme="1"/>
        <rFont val="Arial"/>
        <family val="2"/>
      </rPr>
      <t xml:space="preserve">: * Se actualizó la plantilla principal del portal Web del SIAC, atendiendo recomendaciones de la oficina de Informática del IDEAM, se diagramaron nuevos contenidos los cuales están en proceso de edición. * Elaboración y envío de los boletines SIAC correspondientes a los meses de julio y agosto. * Realización del Taller: Herramientas para la gestión de la información ambiental los días 23 y 24 de agosto con representantes de las corporaciones Cormacarena, Corpoguavio, Corpochivor, Corpoboyacá y Secretaría Distrital de Ambiental. * Elaboración de un afiche divulgativo general sobre los subsistemas del SIAC y uno particular sobre el subsistema Registro Único Ambiental. * Elaboración de un material multimedia sobre servicios de información en el SIAC. </t>
    </r>
    <r>
      <rPr>
        <sz val="9"/>
        <color rgb="FFFF0000"/>
        <rFont val="Arial"/>
        <family val="2"/>
      </rPr>
      <t>Avance 50%</t>
    </r>
    <r>
      <rPr>
        <sz val="9"/>
        <color theme="1"/>
        <rFont val="Arial"/>
        <family val="2"/>
      </rPr>
      <t>.</t>
    </r>
  </si>
  <si>
    <t xml:space="preserve">Lo descrito en el indicador se asocia con los 3 productos temàticos del SIAC. Se presenta una descripciòn de tareas. </t>
  </si>
  <si>
    <r>
      <rPr>
        <u/>
        <sz val="9"/>
        <color theme="1"/>
        <rFont val="Arial"/>
        <family val="2"/>
      </rPr>
      <t>JUN/16</t>
    </r>
    <r>
      <rPr>
        <sz val="9"/>
        <color theme="1"/>
        <rFont val="Arial"/>
        <family val="2"/>
      </rPr>
      <t xml:space="preserve">: * Se diseñó el componente de software para disponer ventanas regionales y cifras ambientales desde entidades socias como autoridades ambientales e institutos de investigación. Se aneza manual tecnico, manual descriptivo de los webservices, e instaladores. * Se contrató un profesional SIG para el SIAC. * Se definió la nueva estructura y diseño del catálogo de mapas del portal Web del SIAC y se implementó este nuevo diseño en 25 capas geográficas, link catálogo http://www.siac.gov.co/Catalogo_mapas.html. * Se realizó un taller para el uso del Bus de servicios, el cual permite el intercambio de información entre entidades socias que disponen sus datos a través de webservices. En el taller participó personal tecnico del IDEAM, IAvH, ANLA, PNN. * Se cuenta con una primera versión del documento de especificación de requerimientos para articular información desde los subsistemas del SIAC, para que sirvan de insumo para el Registro de Emisiones y Transferencia de Contaminantes. X:\Ecosistemas\POA 2016\EVIDENCIAS POA 2016\NIDIA Y NATALIA\EVIDENCIAS JUNIO. </t>
    </r>
    <r>
      <rPr>
        <sz val="9"/>
        <color rgb="FFFF0000"/>
        <rFont val="Arial"/>
        <family val="2"/>
      </rPr>
      <t>Avance 30%.</t>
    </r>
    <r>
      <rPr>
        <sz val="9"/>
        <color theme="1"/>
        <rFont val="Arial"/>
        <family val="2"/>
      </rPr>
      <t xml:space="preserve"> 
</t>
    </r>
    <r>
      <rPr>
        <u/>
        <sz val="9"/>
        <color theme="1"/>
        <rFont val="Arial"/>
        <family val="2"/>
      </rPr>
      <t>AGT/16</t>
    </r>
    <r>
      <rPr>
        <sz val="9"/>
        <color theme="1"/>
        <rFont val="Arial"/>
        <family val="2"/>
      </rPr>
      <t xml:space="preserve">:* Se implementó el nuevo diseño  del catálogo de mapas en otras nuevas  20 capas geográficas, link catálogo http://www.siac.gov.co/Catalogo_mapas.html. * Se realizó la instalación del componente de intercambio de cifras para el portal SIAC desde Parques Nacionales Naturales e INVEMAR. * Se formalizó convenio MADS - IAvH para la realización del  Dash board de cifras de biodiversidad, el IDEAM partició con el diseño de las condiciones técnicas de este nuevo servicio que se visualizará a través del portal Web del SIAC. </t>
    </r>
    <r>
      <rPr>
        <sz val="9"/>
        <color rgb="FFFF0000"/>
        <rFont val="Arial"/>
        <family val="2"/>
      </rPr>
      <t>Avance 50%.</t>
    </r>
  </si>
  <si>
    <r>
      <rPr>
        <u/>
        <sz val="9"/>
        <color theme="1"/>
        <rFont val="Arial"/>
        <family val="2"/>
      </rPr>
      <t>JUN/16</t>
    </r>
    <r>
      <rPr>
        <sz val="9"/>
        <color theme="1"/>
        <rFont val="Arial"/>
        <family val="2"/>
      </rPr>
      <t xml:space="preserve">: Se eliminaron 200 metadatos del sistema de gestion de metadatos geonetwork, que no tenian informacion en la base de datos geografica. Se subieron a la geodatabase y se dispusieron en geoservicios, las siguientes capas: Función Gama 1+1k Anual durante el periodo 2000-2010, Función Gama 1+1k Mensual durante el periodo 2000-2010, Función Gama 1+2k Anual durante el periodo 2000-2010, Función Gama 1+2k Mensual durante el periodo 2000-2010, Función Gama 1+3k Anual durante el periodo 2000-2010, Función Gama 1+3k Mensual durante el periodo 2000-2010, Función Gama 1+4k Anual durante el periodo 2000-2010, Velocidad del viento a 10 metros de altura Anual durante el periodo 2000-2010, Velocidad del viento a 10 metros de altura Mensual durante el periodo 2000-2010, Velocidad del Viento a 50 Metros de Altura Anual durante el periodo 2000-2010, Velocidad del Viento a 50 Metros de Altura Mensual durante el periodo 2000-2010, Velocidad del Viento a 80 Metros de Altura Anual durante el periodo 2000-2010, Velocidad del Viento a 80 Metros de Altura Mensual durante el periodo 2000-2010, Velocidad del Viento a 100 Metros de Altura Anual durante el periodo 2000-2010, Velocidad del Viento a 100 Metros de Altura Mensual durante el periodo 2000-2010, Velocidad del Viento a 150 Metros de Altura Anual durante el periodo 2000-2010, Velocidad del Viento a 150 Metros de Altura Mensual durante el periodo 2000-2010, Velocidad del Viento a 200 Metros de Altura Anual durante el periodo 2000-2010, Velocidad del Viento a 200 Metros de Altura Mensual durante el periodo 2000-2010, Velocidad del Viento a 250 Metros de Altura Anual durante el periodo 2000-2010, Velocidad del Viento a 250 Metros de Altura Mensual durante el periodo 2000-2010, Velocidad del Viento de Máxima Energía Anual durante el periodo 2000-2010, Velocidad del viento de máxima energía mensual durante el periodo 2000-2010. </t>
    </r>
    <r>
      <rPr>
        <sz val="9"/>
        <color rgb="FFFF0000"/>
        <rFont val="Arial"/>
        <family val="2"/>
      </rPr>
      <t>Avance 40%.</t>
    </r>
    <r>
      <rPr>
        <sz val="9"/>
        <color theme="1"/>
        <rFont val="Arial"/>
        <family val="2"/>
      </rPr>
      <t xml:space="preserve"> 
</t>
    </r>
    <r>
      <rPr>
        <u/>
        <sz val="9"/>
        <color theme="1"/>
        <rFont val="Arial"/>
        <family val="2"/>
      </rPr>
      <t>AGT/16</t>
    </r>
    <r>
      <rPr>
        <sz val="9"/>
        <color theme="1"/>
        <rFont val="Arial"/>
        <family val="2"/>
      </rPr>
      <t xml:space="preserve">: Se eliminaron 600  metadatos del sistema de gestion de metadatos geonetwork, que no tenian informacion en la base de datos geografica. Se  revisaron e hicieron observaciones a los documentos de la Infraestructura de datos espaciales sobre  politicas de calidad de información geográfica, custodia de informacion geográfica, disposición, acceso y uso de la informacion geográfica, produccion de información geográfica y  propiedad intelectual, derechos de autor. Se han realizado procesos de mantenimiento y actualizacion a los geoservicios, se dispuso en la geodatabase en los geoservicios y en el visor la capa de corberturas de paramos, se realizo la presentacion del visor institucional al Departamento Nacional de Planeacion. Se actualizo la capa del catalogo Nacional de estaciones. Se realizo la revision y organizacion de la informacion de aptitud agroclimatica decadal para labores agricolas durante el periodo 1981-2010, Clasificacion climatica de Koppen durante el periodo 1981-2010, Indice hidrico de thomthwaile durante el periodo 1981-2010, lluvias maximas absolutas en 24 horas periodo de retorno de 10 años periodo 1981-2010,  luvias maximas absolutas en 24 horas periodo de retorno de 20 años periodo 1981-2010,luvias maximas absolutas en 24 horas periodo de retorno de 30 años periodo 1981-2010, luvias maximas absolutas en 24 horas periodo de retorno de 40 años periodo 1981-2010, luvias maximas absolutas en 24 horas periodo de retorno de 50 años periodo 1981-2010, luvias maximas absolutas en 24 horas periodo de retorno de 100 años periodo 1981-2010, Precipitacion total trimestral promedio multianual durante el periodo 1981-2010, Precipitación decadal promedio multianual durante el periodo 1981-2010,Regimen pluviometrico de Colombia durante el periodo 1981-2010, Sequia durante el periodo abril de 1976 a julio de 1977. Sequia durante el periodo julio de 1982 a diciembre de 1983, Sequia durante el periodo julio de 2002 a abril de 2003. </t>
    </r>
    <r>
      <rPr>
        <sz val="9"/>
        <color rgb="FFFF0000"/>
        <rFont val="Arial"/>
        <family val="2"/>
      </rPr>
      <t>Avance 60%.</t>
    </r>
  </si>
  <si>
    <t xml:space="preserve">Al revisar el alcance de los productos y la meta, no se advierte consistencia con lo planteado en el indicador de "Subsistemas interoperando en el marco de SIAC", que tiene una meta 0 para 2016.
</t>
  </si>
  <si>
    <t xml:space="preserve">Se adelantan los procesos de mantenimiento a los aplicativos de soporte existentes (COMISIONES, SICAPITAL, PERNO, ORFEO). </t>
  </si>
  <si>
    <r>
      <rPr>
        <u/>
        <sz val="9"/>
        <color theme="1"/>
        <rFont val="Arial"/>
        <family val="2"/>
      </rPr>
      <t>JUN/16</t>
    </r>
    <r>
      <rPr>
        <sz val="9"/>
        <color theme="1"/>
        <rFont val="Arial"/>
        <family val="2"/>
      </rPr>
      <t xml:space="preserve">: Se continùa ejecución de contrato de outsourcing. Elaboracion de estudios previos para el mantenimiento preventivo del sistema de recepción satelital. Evidencia:\\cona\grpdata$\Informatica\General\Precontractual. </t>
    </r>
    <r>
      <rPr>
        <sz val="9"/>
        <color rgb="FFFF0000"/>
        <rFont val="Arial"/>
        <family val="2"/>
      </rPr>
      <t xml:space="preserve">Avance 99%.
</t>
    </r>
    <r>
      <rPr>
        <u/>
        <sz val="9"/>
        <color rgb="FFFF0000"/>
        <rFont val="Arial"/>
        <family val="2"/>
      </rPr>
      <t>AGT/16</t>
    </r>
    <r>
      <rPr>
        <sz val="9"/>
        <color rgb="FFFF0000"/>
        <rFont val="Arial"/>
        <family val="2"/>
      </rPr>
      <t>: Avanza ejecución contrato de outsourcing.
Contratos del mantenimiento preventivo sistema de recepción satelital, adquisición solución convergente para el Datacenter.
Evidencia:
\\cona\grpdata$\Informatica\General\Precontractual. Avance 99%.</t>
    </r>
  </si>
  <si>
    <r>
      <rPr>
        <u/>
        <sz val="9"/>
        <color theme="1"/>
        <rFont val="Arial"/>
        <family val="2"/>
      </rPr>
      <t>JUN/16</t>
    </r>
    <r>
      <rPr>
        <sz val="9"/>
        <color theme="1"/>
        <rFont val="Arial"/>
        <family val="2"/>
      </rPr>
      <t xml:space="preserve">:1. Proceso de levantamiento de requerimientos e inicio de documento técnico para adquisición de software. 2. Soporte de operación y administración de los sistemas SSHM, Hydras y CNE. Evidencias: Carta de ofrecimiento ESRI y borrador de Anexo técnico para estudio de mercado.Tickets de mesa de servicio, relación de seguimiento diario. </t>
    </r>
    <r>
      <rPr>
        <sz val="9"/>
        <color rgb="FFFF0000"/>
        <rFont val="Arial"/>
        <family val="2"/>
      </rPr>
      <t>Avance 57%.</t>
    </r>
    <r>
      <rPr>
        <sz val="9"/>
        <color theme="1"/>
        <rFont val="Arial"/>
        <family val="2"/>
      </rPr>
      <t xml:space="preserve">
</t>
    </r>
    <r>
      <rPr>
        <u/>
        <sz val="9"/>
        <color rgb="FFFF0000"/>
        <rFont val="Arial"/>
        <family val="2"/>
      </rPr>
      <t>AGT/16</t>
    </r>
    <r>
      <rPr>
        <sz val="9"/>
        <color rgb="FFFF0000"/>
        <rFont val="Arial"/>
        <family val="2"/>
      </rPr>
      <t>: 1. Proceso de levantamiento de requerimientos, trámite de vigencia futura y primera versión del documento técnico para adquisición de software. 2. Soporte de operación y administración de los sistemas SSHM, Hydras y CNE. Evidencias: Actas y listas de asistencia a reuniones, memorandos y demás documentos técnicos. tickets de mesa de servicio, matrices de reportes de incidentes SSHM y CNE. Avance 67%.</t>
    </r>
  </si>
  <si>
    <r>
      <rPr>
        <u/>
        <sz val="9"/>
        <color theme="1"/>
        <rFont val="Arial"/>
        <family val="2"/>
      </rPr>
      <t>JUN/16</t>
    </r>
    <r>
      <rPr>
        <sz val="9"/>
        <color theme="1"/>
        <rFont val="Arial"/>
        <family val="2"/>
      </rPr>
      <t xml:space="preserve">: 1. Se realizó capacitación en el mes de junio del módulo de comisiones. 2. Se inició la etapa de pruebas de usuario para las cuál fue designada como líder temático la funcionaria Luz Yadira Páez del grupo de contabilidad, la oficina de informática propuso un plan de trabajo para las pruebas de usuario el cuál ha sido liderado por la líder designada. 3. Se realizaron ajustes de las incidencias reportadas producto de las pruebas.Evidencias:X:\Informatica\General\Comisiones\capacitación\asistencias junio2016.pdf.X:\Informatica\General\Comisiones\incidencias\Final Consolidado Incidencias - Flujo General con anticipo y sin anticipo.xlsx. </t>
    </r>
    <r>
      <rPr>
        <sz val="9"/>
        <color rgb="FFFF0000"/>
        <rFont val="Arial"/>
        <family val="2"/>
      </rPr>
      <t>Avance 72%.</t>
    </r>
    <r>
      <rPr>
        <sz val="9"/>
        <color theme="1"/>
        <rFont val="Arial"/>
        <family val="2"/>
      </rPr>
      <t xml:space="preserve">
</t>
    </r>
    <r>
      <rPr>
        <u/>
        <sz val="9"/>
        <color rgb="FFFF0000"/>
        <rFont val="Arial"/>
        <family val="2"/>
      </rPr>
      <t>AGT/16</t>
    </r>
    <r>
      <rPr>
        <sz val="9"/>
        <color rgb="FFFF0000"/>
        <rFont val="Arial"/>
        <family val="2"/>
      </rPr>
      <t>: 1. Se realizó el informe consolidado de las pruebas y se envío correo, solicitando reunión para establecer lineamientos a seguir. 2. Se realizó alistamiento para ambiente de producción.Evidencias: X:\Informatica\General\Comisiones\Producción;X:\Informatica\General\Comisiones\pruebas\RESULTADO PRUEBAS DE USUARIO.docx.4.Mantenimiento evolutivo al aplicativo ORFEO según requerimientos de la Of. de Atención al Ciudadano (en pruebas). 5. Mantenimiento Suite Version Empresarial (contrato de soporte y mantenimiento por un año). Avance 81,5%.1.</t>
    </r>
  </si>
  <si>
    <t>Las actividades se han concentrado en garantizar la disponibilidad de la infraestructura tecnológica de la Entidad, con el sostenimiento de la operaciòn del sistema.
Se inició operación con el aire acondicionado de contingencia para el data center y la contratación y reparación de la UPS circuito 2 del data center.</t>
  </si>
  <si>
    <r>
      <rPr>
        <u/>
        <sz val="9"/>
        <color theme="1"/>
        <rFont val="Arial"/>
        <family val="2"/>
      </rPr>
      <t>JUN/16:</t>
    </r>
    <r>
      <rPr>
        <sz val="9"/>
        <color theme="1"/>
        <rFont val="Arial"/>
        <family val="2"/>
      </rPr>
      <t xml:space="preserve"> 1. Radicación de proceso contractual Consultoría para la adopción e implementación del marco de referencia de la arquitectura TI. 2. Participación en mesa sectorial de GEL el 16 de mayo. Evidencias: Radicado ORFEO 20161040002133 del 17/06/2016X:\Informatica\Evaluación GEL\Comite Sectorial 2016. </t>
    </r>
    <r>
      <rPr>
        <sz val="9"/>
        <color rgb="FFFF0000"/>
        <rFont val="Arial"/>
        <family val="2"/>
      </rPr>
      <t>Avance 52%</t>
    </r>
    <r>
      <rPr>
        <sz val="9"/>
        <color theme="1"/>
        <rFont val="Arial"/>
        <family val="2"/>
      </rPr>
      <t xml:space="preserve">.
</t>
    </r>
    <r>
      <rPr>
        <u/>
        <sz val="9"/>
        <color rgb="FFFF0000"/>
        <rFont val="Arial"/>
        <family val="2"/>
      </rPr>
      <t>AGT/16</t>
    </r>
    <r>
      <rPr>
        <sz val="9"/>
        <color rgb="FFFF0000"/>
        <rFont val="Arial"/>
        <family val="2"/>
      </rPr>
      <t>: 1. Ajustes estudios Previos Consultoría para la adopción e implementación del marco de referencia de la arquitectura TI. publicación de pliegos, recepción y evaluación de propuestas. 2. Asistencia talleres virtuales (nueva pagina de datos abiertos). Evidencias: Correos electrónicos y Estudios previos, proceso y  adendas publicados en SECOP. Avance 72%.</t>
    </r>
  </si>
  <si>
    <r>
      <rPr>
        <u/>
        <sz val="9"/>
        <color theme="1"/>
        <rFont val="Arial"/>
        <family val="2"/>
      </rPr>
      <t>JUN/16</t>
    </r>
    <r>
      <rPr>
        <sz val="9"/>
        <color theme="1"/>
        <rFont val="Arial"/>
        <family val="2"/>
      </rPr>
      <t xml:space="preserve">: </t>
    </r>
    <r>
      <rPr>
        <sz val="9"/>
        <rFont val="Arial"/>
        <family val="2"/>
      </rPr>
      <t xml:space="preserve">1. Actualizacion plan de seguridad de la información.2. Procedimiento acceso a servicios de informaciòn. 3. Proceso de contratación para marco de referencia Modelos de Seguridad y Privacidad de la Información, Decreto 1078 para el proceso de Centro de Datos Alternos para DRP (Plan de recuperacion de desastres). 4. Participaciòn en mesas sectoriales para la seguridad de la informacion en sistemas criticos. 5. Participaciòn para mesas sectoriales MSPI -  IDEAM - MADS - MinTIC. 6. Documento del Sector Estrategico Evidencias: http://goo.gl/TWSnEg http://goo.gl/eqVge9 \\cona\grpdata$\Informatica\General\Precontractual2016\28_DataCenter_Alterno\1.Precontractual\Data full \\cona\grpdata$\Informatica\General\SEGURIDAD\Seguridad 2016\Total General\Sistemas Criticos\Galeria \\cona\grpdata$\Informatica\General\SEGURIDAD\Seguridad 2016\Total General\MINTIC\Galeria MADS
\\cona\grpdata$\Informatica\General\SEGURIDAD\Seguridad 2016\Total General\Infraestruturas Criticas\Sectores Estrategicos Colombia-Revisión MADS V6.docx. </t>
    </r>
    <r>
      <rPr>
        <sz val="9"/>
        <color rgb="FFFF0000"/>
        <rFont val="Arial"/>
        <family val="2"/>
      </rPr>
      <t>Avance 50%.</t>
    </r>
    <r>
      <rPr>
        <u/>
        <sz val="9"/>
        <color theme="1"/>
        <rFont val="Arial"/>
        <family val="2"/>
      </rPr>
      <t xml:space="preserve">
</t>
    </r>
    <r>
      <rPr>
        <u/>
        <sz val="9"/>
        <color rgb="FFFF0000"/>
        <rFont val="Arial"/>
        <family val="2"/>
      </rPr>
      <t>AGT/16</t>
    </r>
    <r>
      <rPr>
        <sz val="9"/>
        <color rgb="FFFF0000"/>
        <rFont val="Arial"/>
        <family val="2"/>
      </rPr>
      <t>: 1. Actualizacion documental en cumplimiento con lo requerido por el Modelo MSPI - En espera de oficialización - Indicadores de Gestion - Normograma de Seguridad - Organización de Seguridad (Roles y responsabilidades) - Reglamento interno de seguridad de la información - Acuerdo de Uso de los Activos de Información - Compromiso del manejo de la informacion IDEAM - Estrategias Implementacion CDA - Glosario seguridad de la información. Evidencias:\\cona\grpdata$\Informatica\General\SEGURIDAD\Seguridad 2016\Total General\Documentos Insumo 27001\DocumentosGeneral\Pendientes por Oficializar. 2. Proceso Contractual Migracion IPV4 - IPV6 - Reuniones con proveedores -Metrotel -Yeapdata - ETB -CIntel -Renata - Actualmente la parte juridica se encuetra validando cual será la modalidad de contratación. Evidencia:\\cona\grpdata$\Informatica\General\Precontractual2016\29_IPv4_IPv6. 3. Participacion en mesas sectoriales para la seguridad de la informacion en sistemas criticos (ciberseguridad-ciberdefensa). Evidencia:
\\cona\grpdata$\Informatica\General\SEGURIDAD\Seguridad 2016\Total General\Infraestruturas Criticas. Avance 75%.</t>
    </r>
  </si>
  <si>
    <t>Se describen las tareas o gestiones adelantadas para el cumplimiento de la meta.</t>
  </si>
  <si>
    <t>OBSERVACIONES OCI (1)</t>
  </si>
  <si>
    <t xml:space="preserve">Desarrollan el mantenimiento de aplicativos en las àreas misionales (SISAIRE, SIRH, SNIF, SIUR, SSHM, CNE, Hydras).
Se realizò el soporte de operación y administración de los sistemas SSHM, Hydras y CNE.
Adelantan el proceso de los servicios Web para interoperabilidad con VITAL.
Adicionalmente, se adelanta el proceso de levantamiento de requerimientos e inicio de documento técnico para adquisición de software que integre todos los aplicativos. </t>
  </si>
  <si>
    <t>No presenta ejecuciòn de recursos a la fecha.
Actualmente se surte el proceso de evaluación de propuestas en la Oficina Asesora Jurídica para contratar la consultoría para la adopción e implementación del marco de referencia de la arquitectura TI de Colombia.</t>
  </si>
  <si>
    <t xml:space="preserve">Las actividades relacionadas deben estar direccionadas con el cumplimiento de cada una de las fases implementadas en el manual GEL.
Dada la etapa del proceso de contrataciòn en que se encuentra, se debe revaluar la pertinencia y cumplimiento de un eventual contrato para la entrega oportuna de los productos o servicios.
</t>
  </si>
  <si>
    <t>El avance (99%) se registra porque los servicios de operaciòn no han sobrepasado el tiempo de interrupciòn que se tiene estimado durante la vigencia, por lo que estiman que se ha cumplido con la meta. Sin embargo no se dispone de datos consolidados de interrupciòn y por consiguiente la consideraciòn sobre el cumplimiento efectivo de la meta, es una apreciaciòn respetable pero que presenta difìcultad para su confrontaciòn.
Se presenta igualmente, falta de claridad en la determinaciòn o identificaciòn de la actividad, formulaciòn de indicadores y metas.
Con relaciòn a la ejecuciòn de recursos se presenta una adiciòn en agosto 2016 de $2.369`276.768, direccionados al servicio de soporte, administraciòn y operaciòn de la plataforma tecnológica del IDEAM (Contrato 312 de 2015), al igual que al de prestar el servicio de conexión y acceso a internet mediante canales dedicados para el IDEAM (Contrato 036 de 2015).
Se registran a la fecha 21 contratos relacionados con esta actividad.
Dados los valores y significado de la operaciòn, se sugiere el seguimiento pormenorizado de los contratos, con el objeto de concretar el cumplimiento del presupuesto ejecutado, entendiendo que se refiere a compromisos, para determinar el cabal recibo de los bienes o servicios y de esta manera considerarlos como obligaciones.</t>
  </si>
  <si>
    <r>
      <rPr>
        <u/>
        <sz val="10"/>
        <color theme="1"/>
        <rFont val="Arial"/>
        <family val="2"/>
      </rPr>
      <t>JUN/16</t>
    </r>
    <r>
      <rPr>
        <sz val="10"/>
        <color theme="1"/>
        <rFont val="Arial"/>
        <family val="2"/>
      </rPr>
      <t xml:space="preserve">: Se ha analizado situación del nodo CAR Cundinamarca para optimizar su funcionamiento. </t>
    </r>
    <r>
      <rPr>
        <sz val="10"/>
        <color rgb="FFFF0000"/>
        <rFont val="Arial"/>
        <family val="2"/>
      </rPr>
      <t>Avance 30%.</t>
    </r>
    <r>
      <rPr>
        <u/>
        <sz val="10"/>
        <color rgb="FFFF0000"/>
        <rFont val="Arial"/>
        <family val="2"/>
      </rPr>
      <t xml:space="preserve">
AGT/16</t>
    </r>
    <r>
      <rPr>
        <sz val="10"/>
        <color rgb="FFFF0000"/>
        <rFont val="Arial"/>
        <family val="2"/>
      </rPr>
      <t>: Durante 2015 se instalaron los siguientes nodos: CORPOGUAVIO, CODECHOCÓ, CORALINA, CORPOAMAZONIA, CARSUCRE, CORMACARENA, CORPORINOQUIA Y CDA. En 2016 se reacitvò nodo de CAR a solicitud de la entidad. Actualmente se cuenta con 16 nodos operando, se cumplió la meta de implementación de nodos, las actividades y recursos en 2016 se orientan a la operación de los nodos y mejoramiento de la operación del SIRH. Se realizó contratación de personal para desarrollo de actividades. Para monitorear el funcionamiento de los nodos se genera informe semanal de estado de operación de nodos. Se inició proceso de sincronización de datos pendientes. Para este efecto se cuenta con los siguientes contratos: 089 (lider técnico, soporte y mantenimiento del SIRH),  227 (sincronización datos de nodos), 231 (cargue masivo desde excel y serv. web),  221 (disponibilidad de nodos), 223 (mejoras a usabilidad y reportes). Avance 100%.</t>
    </r>
  </si>
  <si>
    <r>
      <rPr>
        <u/>
        <sz val="10"/>
        <color theme="1"/>
        <rFont val="Arial"/>
        <family val="2"/>
      </rPr>
      <t>JUN/16</t>
    </r>
    <r>
      <rPr>
        <sz val="10"/>
        <color theme="1"/>
        <rFont val="Arial"/>
        <family val="2"/>
      </rPr>
      <t xml:space="preserve">: Se han realizado talleres de Capacitación (taller CRA - Barranquilla, se realizó taller regional en Bogota (9/10 de junio) y en Cali (23/24 de junio). </t>
    </r>
    <r>
      <rPr>
        <sz val="10"/>
        <color rgb="FFFF0000"/>
        <rFont val="Arial"/>
        <family val="2"/>
      </rPr>
      <t xml:space="preserve">Avance 80%.
</t>
    </r>
    <r>
      <rPr>
        <u/>
        <sz val="10"/>
        <color rgb="FFFF0000"/>
        <rFont val="Arial"/>
        <family val="2"/>
      </rPr>
      <t>AGT/16</t>
    </r>
    <r>
      <rPr>
        <sz val="10"/>
        <color rgb="FFFF0000"/>
        <rFont val="Arial"/>
        <family val="2"/>
      </rPr>
      <t>: Se han realizado talleres de Capacitación (taller CRA - Barranquilla, se realizó taller regional en Bogota (9/10 de junio)  y en Cali (23/24 de junio). El quinto taller se realizó en julio en AMVA -  Medellín. Se adjuntan listas de asistencia y soportes disponibles de talleres. Avance 100%.</t>
    </r>
  </si>
  <si>
    <r>
      <rPr>
        <u/>
        <sz val="10"/>
        <color theme="1"/>
        <rFont val="Arial"/>
        <family val="2"/>
      </rPr>
      <t>JUN/16</t>
    </r>
    <r>
      <rPr>
        <sz val="10"/>
        <color theme="1"/>
        <rFont val="Arial"/>
        <family val="2"/>
      </rPr>
      <t xml:space="preserve">: Se mejoró el analisis de requerimientos para la definición de los productos y actividades requeridas, que incluye los elementos de investigación en el marco misional del IDEAM. </t>
    </r>
    <r>
      <rPr>
        <sz val="10"/>
        <color rgb="FFFF0000"/>
        <rFont val="Arial"/>
        <family val="2"/>
      </rPr>
      <t xml:space="preserve">Avance 15%.
</t>
    </r>
    <r>
      <rPr>
        <u/>
        <sz val="10"/>
        <color rgb="FFFF0000"/>
        <rFont val="Arial"/>
        <family val="2"/>
      </rPr>
      <t>AGT/16</t>
    </r>
    <r>
      <rPr>
        <sz val="10"/>
        <color rgb="FFFF0000"/>
        <rFont val="Arial"/>
        <family val="2"/>
      </rPr>
      <t>: Como avance al documento final: Se consolidó cuadro que incluye los elementos de investigación en el marco misional del IDEAM. Se elaboró protocolo para documentos de carácter científico. En el marco del contrato 205 de 2016. Se anexa como soporte el primer informe de este contrato que contiene los avances descritos. Avance 25%.</t>
    </r>
  </si>
  <si>
    <t>Los 4 mapas son:
1.Mapa nacional de cobertura boscosa.
2.Mapa de cambio de la cobertura boscosa.
3. Dos mapas alertas nacionales de deforestación (Semestral).
MinAmbiente indica al IDEAM que solicitò ajuste del indicador al DNP (Of 17/JUN/16 - sin respuesta del DNP).
Con relaciòn a los 4 mapas, se dispone de versiòn preliminar de un estudio de la deforestaciòn en 2015 como insumo para elaborar el mapa de cambio de cobertura bosque 2014-2015 (resoluciòn media escala 1:100,000).
Con relaciòn a los 2 mapas de alertas tempranas se elaborò el del I y II trimestre de 2016, que corresponde al mapa de la primera alerta 2016.
Indican un avance del 70%.</t>
  </si>
  <si>
    <t>MAPAS 50%
RECURSOS 66%</t>
  </si>
  <si>
    <t>PRODUCTOS 167%
RECURSOS 96%</t>
  </si>
  <si>
    <t>En primera intancia se define la elaboraciòn de la version 2 del Cubo de Datos que corresponde a la meta planteada en el PLAN INDICATIVO CUATRIENAL 2015-2018 -IDEAM, para 2016.
Para la actividad POA2016, se definen 4 productos, que corresponden a 2 subproductos por cada uno de los 2 elementos identificados: a) el cubo de datos y b) un mapa de ecosistemas.
Con relaciòn al Cubo de datos, se descargan imágenes Landsat 7 para toda la cobertura nacional  de los años  2006 - 2014, asì como se han ingestado al cubo imágenes para los años 2003 - 2004 y se continùa con las pruebas en la versión 2.0 del cubo de datos.
Sobre el Mapa de Ecosistemas, se dividiò el shape en cinco áreas hidrográficas del país, se adelanta la base de ecosistemas acuáticos de ambientes lóticos y lénticos, para la versión 1.0 del mapa. Se generaron los Biomas generales y preliminares del mapa de ecosistemas versión 2.0. Dado que INVEMAR no cuenta con información actualizada de los ecosistemas marinos, se adelantaràn los ecosistemas continentales. Se cuenta con el resultado preliminar de los ecosistemas por área hidrográfica. Los avances se pueden consultar en: D:\VANESSA_MONTAÑEZ\VANESSA2016\MAPA_ECOSISTEMAS_1_100000_V2.0\MAPA\RESULTADOS.
Avance del 60%.</t>
  </si>
  <si>
    <t>PRODUCTOS 60%
RECURSOS 78%</t>
  </si>
  <si>
    <t>La meta del POA 2016 - PROYECTO DE INVERSIÓN no es consistente con lo consignado en el PLAN INDICATIVO CUATRIENAL 2015-2018 -IDEAM, cuya meta para 2016 es 1. La anterior falta de claridad en la formulaciòn de la "Actividad POA 2015" (2016), genera confusiòn al confrontarlos con los 4 productos del cuatrienio y se puede interpretar que en 2016 se adelantaràn 3 documentos del total.
Aunque el avance (65%) se registra alineado con las gestiones y actividades desarrolladas para lograr la "Meta Actividad", se debe revisar y registrar conforme a lo establecido en el "Indicador Actividad", por lo que al tener en cuenta los documentos relacionados, no hay consistencia con dicho avance, ya que se observa que se dispone de màs documentos de los propuestos. Al entender que los "productos temàticos generados" son elementos para alcanzar la "Línea base de degradación de suelos", se presenta la situaciòn de haber subestimado lo proyectado, lo que conlleva a revisar el proceso previo de planeaciòn, tanto para la definiciòn de actividades a desarrollar durante la vigencia como para la identificaciòn consistente de metas y sus correspondientes indicadores. Se sugiere revisar con la Oficina Asesora de Planeaciòn la pertinencia de los ajustes
Con relaciòn a la ejecuciòn de recursos se debe definir la ejecuciòn de un contrato por $30`000.000 que se tiene previsto o de lo contrario, informar con oportunidad a la instancia correspondiente para la dispocisiòn de dichos recursos. Al tener considerado en el PLAN INDICATIVO CUATRIENAL 2015-2018 -IDEAM como producto final el "Programa para pronòstico de amenaza por deslizamientos", se debe asegurar que las acciones estèn alineadas con èste propòsito. Se presenta un 96% de ejecuciòn.</t>
  </si>
  <si>
    <t>Los documentos identificados corresponden a: 
1) Hoja metodològica de baterìa de indicadores. 
2) Material divulgativo y de informaciòn asociados al portal SIAC, como boletines, afiches y videos. 
3) Documentos de estandarizaciòn de intercambio de datos (estàndares de mapas).
Se han elaborado los documentos: Lineamientos para la generación y mantenimiento de sistemas de información ambiental, asociados al SIAC y el de Lineamientos y mecanismos para la disposición oportuna y eficiente de la información geográfica al Geovisor del SIAC.
Los boletines SIAC hasta agosto.
Elaboración de un afiche divulgativo general sobre los subsistemas del SIAC y uno particular sobre el subsistema Registro Único Ambiental. Adicional a un material multimedia sobre servicios de información en el SIAC.
Avance 50%.</t>
  </si>
  <si>
    <r>
      <rPr>
        <u/>
        <sz val="9"/>
        <color theme="1"/>
        <rFont val="Arial"/>
        <family val="2"/>
      </rPr>
      <t>JUN/16</t>
    </r>
    <r>
      <rPr>
        <sz val="9"/>
        <color theme="1"/>
        <rFont val="Arial"/>
        <family val="2"/>
      </rPr>
      <t xml:space="preserve">: Verificación y validación de aforos líquidos, aforos sólidos, perfiles transversales y consolidación de las Curvas de Gasto para generación de caudales. Avance en la Verificación de los registros de Niveles a partir de las observaciones de Limnímetro (LM), Limnígrafo (LG) y registrados automáticos de niveles-sensores sónicos (RAN) de todas las estaciones de la Red Básica Nacional. </t>
    </r>
    <r>
      <rPr>
        <sz val="9"/>
        <color rgb="FFFF0000"/>
        <rFont val="Arial"/>
        <family val="2"/>
      </rPr>
      <t xml:space="preserve">Avance 35%.
</t>
    </r>
    <r>
      <rPr>
        <u/>
        <sz val="9"/>
        <color rgb="FFFF0000"/>
        <rFont val="Arial"/>
        <family val="2"/>
      </rPr>
      <t>AGT/16</t>
    </r>
    <r>
      <rPr>
        <sz val="9"/>
        <color rgb="FFFF0000"/>
        <rFont val="Arial"/>
        <family val="2"/>
      </rPr>
      <t>: La actualización de la información se está desarrollando a través de contratos de prestación de servicios: 088 de 2016 y 090 de 2016. La actualización de las curvas IDF (actividad que no se realiza anualmente) se está desarrollando a partir de contrato 113 de 2016 con Universidad Nacional Sede Bogotá. No registra avance del perìodo ni acumulado. (Conserva 35%).</t>
    </r>
  </si>
  <si>
    <r>
      <rPr>
        <u/>
        <sz val="9"/>
        <color theme="1"/>
        <rFont val="Arial"/>
        <family val="2"/>
      </rPr>
      <t>JUN/16</t>
    </r>
    <r>
      <rPr>
        <sz val="9"/>
        <color theme="1"/>
        <rFont val="Arial"/>
        <family val="2"/>
      </rPr>
      <t xml:space="preserve">: Entrega primer informe: "Cronograma, primera reunion técnica, criterios y selección de subzona hidrográfica de la Orinoquía" (orfeo 20169910056762) y complementaciones solicitadas por el IDEAM a dicho informe (orfeo 20169910069132). IDEAM aportó todos los insumos, datos e informacion disponible ( orfeo 20163000001291). </t>
    </r>
    <r>
      <rPr>
        <sz val="9"/>
        <color rgb="FFFF0000"/>
        <rFont val="Arial"/>
        <family val="2"/>
      </rPr>
      <t xml:space="preserve">Avance 45%.
</t>
    </r>
    <r>
      <rPr>
        <u/>
        <sz val="9"/>
        <color rgb="FFFF0000"/>
        <rFont val="Arial"/>
        <family val="2"/>
      </rPr>
      <t>AGT/16</t>
    </r>
    <r>
      <rPr>
        <sz val="9"/>
        <color rgb="FFFF0000"/>
        <rFont val="Arial"/>
        <family val="2"/>
      </rPr>
      <t>: El Documento se está elaborando como producto del contrato 112 de 2016 con la Universidad Nacional. Avances reportados. Reunión Técnica Grupo IDEAM-UNAL MANIZALEZ socialización avances, discusión metodologias a utilizar para la modelación de los sedimentos en la subzona de la Orinoquía y concertación de contenidos del documento “Erosión, transporte y Depósito de sedimentos a nivel de cuenca como una herramienta para la gestión. Entrega Informe 2: Avances en los documentos formulación proyecto ”Erosión, transporte y Depósito de sedimentos a nivel de cuenca como una herramienta para la gestión” y “Aspectos técnicos de la modelación hidrosedimentológica en una zona hidrográfica de la Orinoquia”. Orfeos 20169910069132 y 20169910104092 del expediente 201610202720600001E. Avance 60%.</t>
    </r>
  </si>
  <si>
    <r>
      <rPr>
        <u/>
        <sz val="9"/>
        <color theme="1"/>
        <rFont val="Arial"/>
        <family val="2"/>
      </rPr>
      <t>JUN/16</t>
    </r>
    <r>
      <rPr>
        <sz val="9"/>
        <color theme="1"/>
        <rFont val="Arial"/>
        <family val="2"/>
      </rPr>
      <t xml:space="preserve">: Se realizó revisión y selección de metodologías, ejercicio cuantitativo preliminar y socialización. Se realizó la identificación de información disponible para el cálculo de la recarga. </t>
    </r>
    <r>
      <rPr>
        <sz val="9"/>
        <color rgb="FFFF0000"/>
        <rFont val="Arial"/>
        <family val="2"/>
      </rPr>
      <t>Avance 30%.</t>
    </r>
    <r>
      <rPr>
        <sz val="9"/>
        <color theme="1"/>
        <rFont val="Arial"/>
        <family val="2"/>
      </rPr>
      <t xml:space="preserve">
</t>
    </r>
    <r>
      <rPr>
        <u/>
        <sz val="9"/>
        <color rgb="FFFF0000"/>
        <rFont val="Arial"/>
        <family val="2"/>
      </rPr>
      <t>AGT/16</t>
    </r>
    <r>
      <rPr>
        <sz val="9"/>
        <color rgb="FFFF0000"/>
        <rFont val="Arial"/>
        <family val="2"/>
      </rPr>
      <t>:Se adelantó el concurso de méritos No. 01 de 2016 participando en las funciones del comité evaluador en el componente tecnico dando respuesta a las observaciones y aportando la evaluación tecnica. Dicho concurso esta publicado en el SECOP en el siguiente link: ttps://www.contratos.gov.co/consultas/detalleProceso.do?numConstancia=16-15-5325533. El contrato que resulte del concurso de méritos contribuirá con LA ELABORACIÓN DE LA GUÍA METODOLÓGICA PARA LA IDENTIFICACIÓN Y DELIMITACIÓN DE ZONAS DE RECARGA DE SISTEMAS ACUÍFEROS. Avance 35%.</t>
    </r>
  </si>
  <si>
    <r>
      <rPr>
        <u/>
        <sz val="9"/>
        <color theme="1"/>
        <rFont val="Arial"/>
        <family val="2"/>
      </rPr>
      <t>JUN/16</t>
    </r>
    <r>
      <rPr>
        <sz val="9"/>
        <color theme="1"/>
        <rFont val="Arial"/>
        <family val="2"/>
      </rPr>
      <t xml:space="preserve">: Se generó concurso de méritos para la contratación de la actividad. </t>
    </r>
    <r>
      <rPr>
        <sz val="9"/>
        <color rgb="FFFF0000"/>
        <rFont val="Arial"/>
        <family val="2"/>
      </rPr>
      <t xml:space="preserve">Avance 10%.
</t>
    </r>
    <r>
      <rPr>
        <u/>
        <sz val="9"/>
        <color rgb="FFFF0000"/>
        <rFont val="Arial"/>
        <family val="2"/>
      </rPr>
      <t>AGT/16</t>
    </r>
    <r>
      <rPr>
        <sz val="9"/>
        <color rgb="FFFF0000"/>
        <rFont val="Arial"/>
        <family val="2"/>
      </rPr>
      <t>: Se adelantó el concurso de méritos No. 01 de 2016 participando en las funciones del comité evaluador en el componente tecnico dando respuesta a las observaciones y aportando la evaluación tecnica. Dicho concurso esta publicado en el SECOP en el siguiente link: ttps://www.contratos.gov.co/consultas/detalleProceso.do?numConstancia=16-15-5325533. El contrato que resulte del concurso de méritos contribuirá con ADELANTAR ACTIVIDADES PARA LA IMPLEMENTACIÓN DEL PROGRAMA NACIONAL DE MONITOREO DEL RECURSO HÍDRICO EN SU COMPONENTE DE AGUA SUBTERRÁNEA EN RELACIÓN CON EL INVENTARIO DE PUNTOS DE AGUAS SUBTERRÁNEAS EN PUERTO GAITÁN, META. Avance 15%.</t>
    </r>
  </si>
  <si>
    <r>
      <rPr>
        <u/>
        <sz val="9"/>
        <color theme="1"/>
        <rFont val="Arial"/>
        <family val="2"/>
      </rPr>
      <t>JUN/16</t>
    </r>
    <r>
      <rPr>
        <sz val="9"/>
        <color theme="1"/>
        <rFont val="Arial"/>
        <family val="2"/>
      </rPr>
      <t xml:space="preserve">: Se realizó documento con análisis inicial de contexto, marco normativo y orientación para planear un sistema de Alerta Temprana por Calidad (capítulo de informe contrato 106 de 2016. </t>
    </r>
    <r>
      <rPr>
        <sz val="9"/>
        <color rgb="FFFF0000"/>
        <rFont val="Arial"/>
        <family val="2"/>
      </rPr>
      <t xml:space="preserve">Avance 52%.
</t>
    </r>
    <r>
      <rPr>
        <u/>
        <sz val="9"/>
        <color rgb="FFFF0000"/>
        <rFont val="Arial"/>
        <family val="2"/>
      </rPr>
      <t>AGT/16</t>
    </r>
    <r>
      <rPr>
        <sz val="9"/>
        <color rgb="FFFF0000"/>
        <rFont val="Arial"/>
        <family val="2"/>
      </rPr>
      <t>: Está en revisión interna la primera versión del documento generado. Este documento inicial se elaboró en el marco del contrato 106 de 2016. No se considerò avance para el perìodo (Conserva avance 52%).</t>
    </r>
  </si>
  <si>
    <r>
      <rPr>
        <u/>
        <sz val="9"/>
        <color theme="1"/>
        <rFont val="Arial"/>
        <family val="2"/>
      </rPr>
      <t>JUN/16</t>
    </r>
    <r>
      <rPr>
        <sz val="9"/>
        <color theme="1"/>
        <rFont val="Arial"/>
        <family val="2"/>
      </rPr>
      <t xml:space="preserve">: Se analizó parte de la información de calidad de 2015 y se realizó documento con esta información. Se está haciendo el análisis de las muestras de bioindicación. </t>
    </r>
    <r>
      <rPr>
        <sz val="9"/>
        <color rgb="FFFF0000"/>
        <rFont val="Arial"/>
        <family val="2"/>
      </rPr>
      <t xml:space="preserve">Avance 50%.
</t>
    </r>
    <r>
      <rPr>
        <u/>
        <sz val="9"/>
        <color rgb="FFFF0000"/>
        <rFont val="Arial"/>
        <family val="2"/>
      </rPr>
      <t>AGT/16</t>
    </r>
    <r>
      <rPr>
        <sz val="9"/>
        <color rgb="FFFF0000"/>
        <rFont val="Arial"/>
        <family val="2"/>
      </rPr>
      <t>: Se cumplió con el 50% que corresponde a uno de los documentos (esta parte corresponde al contrato 106 de 2016),  quedando pendiente la parte de bioindicación que está a cargo del grupo de Laboratorio de Calidad (el porcentaje de avance está en proporción del volumen de muestras de fisico - química respecto al de bioindicación). No se considerò avance para el perìodo (Conserva avance 50%).</t>
    </r>
  </si>
  <si>
    <r>
      <rPr>
        <u/>
        <sz val="9"/>
        <color theme="1"/>
        <rFont val="Arial"/>
        <family val="2"/>
      </rPr>
      <t>JUN/16</t>
    </r>
    <r>
      <rPr>
        <sz val="9"/>
        <color theme="1"/>
        <rFont val="Arial"/>
        <family val="2"/>
      </rPr>
      <t xml:space="preserve">: Se analizó parte de la información de calidad de 2015 y se realizó documento con esta información. </t>
    </r>
    <r>
      <rPr>
        <sz val="9"/>
        <color rgb="FFFF0000"/>
        <rFont val="Arial"/>
        <family val="2"/>
      </rPr>
      <t xml:space="preserve">Avance 80%.
</t>
    </r>
    <r>
      <rPr>
        <u/>
        <sz val="9"/>
        <color rgb="FFFF0000"/>
        <rFont val="Arial"/>
        <family val="2"/>
      </rPr>
      <t>AGT/16</t>
    </r>
    <r>
      <rPr>
        <sz val="9"/>
        <color rgb="FFFF0000"/>
        <rFont val="Arial"/>
        <family val="2"/>
      </rPr>
      <t>: Con el avance realizado (esta parte corresponde al contrato 106 de 2016), quedando pendiente la parte de bioindicación que está a cargo del grupo de Laboratorio de Calidad (el porcentaje de avance está en proporción del volumen de muestras de fisico - química respecto al de bioindicación). No se considerò avance para el perìodo (Conserva avance 80%).</t>
    </r>
  </si>
  <si>
    <r>
      <rPr>
        <u/>
        <sz val="9"/>
        <color theme="1"/>
        <rFont val="Arial"/>
        <family val="2"/>
      </rPr>
      <t>JUN/16</t>
    </r>
    <r>
      <rPr>
        <sz val="9"/>
        <color theme="1"/>
        <rFont val="Arial"/>
        <family val="2"/>
      </rPr>
      <t xml:space="preserve">: Se trabaja en procesamiento preliminar de la información disponible. </t>
    </r>
    <r>
      <rPr>
        <sz val="9"/>
        <color rgb="FFFF0000"/>
        <rFont val="Arial"/>
        <family val="2"/>
      </rPr>
      <t xml:space="preserve">Avance 40%.
</t>
    </r>
    <r>
      <rPr>
        <u/>
        <sz val="9"/>
        <color rgb="FFFF0000"/>
        <rFont val="Arial"/>
        <family val="2"/>
      </rPr>
      <t>AGT/16</t>
    </r>
    <r>
      <rPr>
        <sz val="9"/>
        <color rgb="FFFF0000"/>
        <rFont val="Arial"/>
        <family val="2"/>
      </rPr>
      <t>: A Agosto 31 se dispone de 1 mapa de inundación, de la población de Montelíbano (Córdoba). Avance 50%.</t>
    </r>
  </si>
  <si>
    <r>
      <rPr>
        <u/>
        <sz val="9"/>
        <color theme="1"/>
        <rFont val="Arial"/>
        <family val="2"/>
      </rPr>
      <t>JUN/16</t>
    </r>
    <r>
      <rPr>
        <sz val="9"/>
        <color theme="1"/>
        <rFont val="Arial"/>
        <family val="2"/>
      </rPr>
      <t xml:space="preserve">: Se han compilado elementos de modelación orientada a alertas e inundaciones, como insumo. </t>
    </r>
    <r>
      <rPr>
        <sz val="9"/>
        <color rgb="FFFF0000"/>
        <rFont val="Arial"/>
        <family val="2"/>
      </rPr>
      <t xml:space="preserve">Avance 40%.
</t>
    </r>
    <r>
      <rPr>
        <u/>
        <sz val="9"/>
        <color rgb="FFFF0000"/>
        <rFont val="Arial"/>
        <family val="2"/>
      </rPr>
      <t>AGT/16</t>
    </r>
    <r>
      <rPr>
        <sz val="9"/>
        <color rgb="FFFF0000"/>
        <rFont val="Arial"/>
        <family val="2"/>
      </rPr>
      <t>: No se considerò avance para el perìodo (Conserva 40%).</t>
    </r>
  </si>
  <si>
    <r>
      <rPr>
        <u/>
        <sz val="9"/>
        <color theme="1"/>
        <rFont val="Arial"/>
        <family val="2"/>
      </rPr>
      <t>JUN/16</t>
    </r>
    <r>
      <rPr>
        <sz val="9"/>
        <color theme="1"/>
        <rFont val="Arial"/>
        <family val="2"/>
      </rPr>
      <t xml:space="preserve">: Se avanza en: 1) La esquematizacón de los modelos hidráulicos en la parte baja del Rio Cauca (sector entre la Coquera y las varas). 2) Esquematización del modelo hidrológico de la cuenca Alta del Río San Jorge para su incorporación a FEWS. De manera adicional a la meta establecida se avanza en la actualización del Modelo Hidráulico en el río Magdalena. </t>
    </r>
    <r>
      <rPr>
        <sz val="9"/>
        <color rgb="FFFF0000"/>
        <rFont val="Arial"/>
        <family val="2"/>
      </rPr>
      <t xml:space="preserve">Avance 35%.
</t>
    </r>
    <r>
      <rPr>
        <u/>
        <sz val="9"/>
        <color rgb="FFFF0000"/>
        <rFont val="Arial"/>
        <family val="2"/>
      </rPr>
      <t>AGT/16</t>
    </r>
    <r>
      <rPr>
        <sz val="9"/>
        <color rgb="FFFF0000"/>
        <rFont val="Arial"/>
        <family val="2"/>
      </rPr>
      <t>: Se avanza en: 1) Se configuran en la vesión stand Alone los modelos del río San Jorge (hidrológico e hidraulico), el modelo hidrológico de la Coquera. 2) Se configura el modelo hidráulico entre Salgar y Barrancabermeja luego de su recalibración. Avance 45%.</t>
    </r>
  </si>
  <si>
    <r>
      <rPr>
        <u/>
        <sz val="9"/>
        <color theme="1"/>
        <rFont val="Arial"/>
        <family val="2"/>
      </rPr>
      <t>JUN/16</t>
    </r>
    <r>
      <rPr>
        <sz val="9"/>
        <color theme="1"/>
        <rFont val="Arial"/>
        <family val="2"/>
      </rPr>
      <t xml:space="preserve">: Se avanzó en el procesamiento de la información disponible para Ayapel, San Marcos, Caimito y San Benito. </t>
    </r>
    <r>
      <rPr>
        <sz val="9"/>
        <color rgb="FFFF0000"/>
        <rFont val="Arial"/>
        <family val="2"/>
      </rPr>
      <t xml:space="preserve">Avance 40%.
</t>
    </r>
    <r>
      <rPr>
        <u/>
        <sz val="9"/>
        <color rgb="FFFF0000"/>
        <rFont val="Arial"/>
        <family val="2"/>
      </rPr>
      <t>AGT/16</t>
    </r>
    <r>
      <rPr>
        <sz val="9"/>
        <color rgb="FFFF0000"/>
        <rFont val="Arial"/>
        <family val="2"/>
      </rPr>
      <t>: Se cuenta con mapas de amenaza por inundación para  Ayapel, San Marcos, Caimito y San Benito. Avance 100%.</t>
    </r>
  </si>
  <si>
    <r>
      <rPr>
        <u/>
        <sz val="9"/>
        <color theme="1"/>
        <rFont val="Arial"/>
        <family val="2"/>
      </rPr>
      <t>JUN/16</t>
    </r>
    <r>
      <rPr>
        <sz val="9"/>
        <color theme="1"/>
        <rFont val="Arial"/>
        <family val="2"/>
      </rPr>
      <t xml:space="preserve">: Se realizaron talleres con instituciones y con funcionarios y directivos asociadas a la gestión y evaluación del riesgo. </t>
    </r>
    <r>
      <rPr>
        <sz val="9"/>
        <color rgb="FFFF0000"/>
        <rFont val="Arial"/>
        <family val="2"/>
      </rPr>
      <t xml:space="preserve">Avance 60%.
</t>
    </r>
    <r>
      <rPr>
        <u/>
        <sz val="9"/>
        <color rgb="FFFF0000"/>
        <rFont val="Arial"/>
        <family val="2"/>
      </rPr>
      <t>AGT/16</t>
    </r>
    <r>
      <rPr>
        <sz val="9"/>
        <color rgb="FFFF0000"/>
        <rFont val="Arial"/>
        <family val="2"/>
      </rPr>
      <t>: Se realizaron las reuniones entre el grupo consultor de Deltares (recursos de cooperación Internacional), el contratista nacional para tal fin y las entidades nacionales. El documento final esta en elaboración. Se presenta como soporte del avance el documento preliminar. Los recursos que estaban previstos para esta actividad se redireccionarán. No se considerò avance para el perìodo (Conserva avance 60%).</t>
    </r>
  </si>
  <si>
    <t xml:space="preserve">Los datos se registran diariamente y son reportados a la Subdirecciòn de Hidrologìa, quien revisa, analiza y valida.
Para el 2016 se tomaron los datos de vigencia 2015 y hasta la fecha se ha validado un 35% de dichos datos. (Los datos tomados obedecen a las lecturas de las estaciones validadas a la fecha de corte). </t>
  </si>
  <si>
    <t>Se asocia con la actividad 1 y se agruparon los recursos para un contrato.</t>
  </si>
  <si>
    <t>En la ejecuciòn de recursos, se agregan a esta partida los de la actividad 1, con el propòsito de adelantar un contrato por $413`000.000, que se espera firmar y ejecutar desde el mes de septiembre de 2016.</t>
  </si>
  <si>
    <r>
      <rPr>
        <u/>
        <sz val="9"/>
        <color theme="1"/>
        <rFont val="Arial"/>
        <family val="2"/>
      </rPr>
      <t>JUN/16</t>
    </r>
    <r>
      <rPr>
        <sz val="9"/>
        <color theme="1"/>
        <rFont val="Arial"/>
        <family val="2"/>
      </rPr>
      <t xml:space="preserve">: Se realizó ajuste a los términos de la contratación para el desarollo de la actividad. </t>
    </r>
    <r>
      <rPr>
        <sz val="9"/>
        <color rgb="FFFF0000"/>
        <rFont val="Arial"/>
        <family val="2"/>
      </rPr>
      <t xml:space="preserve">Avance 10%.
</t>
    </r>
    <r>
      <rPr>
        <u/>
        <sz val="9"/>
        <color rgb="FFFF0000"/>
        <rFont val="Arial"/>
        <family val="2"/>
      </rPr>
      <t>AGT/16</t>
    </r>
    <r>
      <rPr>
        <sz val="9"/>
        <color rgb="FFFF0000"/>
        <rFont val="Arial"/>
        <family val="2"/>
      </rPr>
      <t>: Se adelanta el contrato 222-2016, busca apoyar la continuación de las actividades de implementación de la red básica nacional de agua subterránea. Durante este periodo se ha avanzado en la definicion de los nuevos puntos donde se requiere la instalación de estaciones Isotopicas (Quibdó, Bahia Solano, Macarena, Cúcuta y Arauca). Se hizo un diagnóstico del estado actual de los convenios y se inició la gestión para suscribir los que están finalizados. Avance 20%.</t>
    </r>
  </si>
  <si>
    <r>
      <rPr>
        <u/>
        <sz val="9"/>
        <color theme="1"/>
        <rFont val="Arial"/>
        <family val="2"/>
      </rPr>
      <t>JUN/16</t>
    </r>
    <r>
      <rPr>
        <sz val="9"/>
        <color theme="1"/>
        <rFont val="Arial"/>
        <family val="2"/>
      </rPr>
      <t xml:space="preserve">: Diagnóstico de los equipos de laboratorio existentes. </t>
    </r>
    <r>
      <rPr>
        <sz val="9"/>
        <color rgb="FFFF0000"/>
        <rFont val="Arial"/>
        <family val="2"/>
      </rPr>
      <t xml:space="preserve">Avance 15%.
</t>
    </r>
    <r>
      <rPr>
        <u/>
        <sz val="9"/>
        <color rgb="FFFF0000"/>
        <rFont val="Arial"/>
        <family val="2"/>
      </rPr>
      <t>AGT/16</t>
    </r>
    <r>
      <rPr>
        <sz val="9"/>
        <color rgb="FFFF0000"/>
        <rFont val="Arial"/>
        <family val="2"/>
      </rPr>
      <t>: Se replanteó el equema de desarrollo del documento que será elaborado por planeación y la Subdirección (no se hará este año contratación). Se propone nuevo alcance (para 2016) de lo cual se avanzó en: Diagnóstico de los equipos de laboratorio existentes, priorización de adquisición, oficina de planeación remitió versión preliminar de la estructura del plan, la subdirección de hidrología remitió algunos insumos técnicos. Avance 25%.</t>
    </r>
  </si>
  <si>
    <t>DOCUMENTO 25%
RECURSOS 0%</t>
  </si>
  <si>
    <t>Se complementa con el informe de la actividad anterior, sin embargo los datos base del 2015 se encuentran en un avance del 75% validados por el Grupo de Laboratorio.
Queda pendiente la parte de bioindicación que está a cargo del grupo de Laboratorio de Calidad.
Avance 80%.</t>
  </si>
  <si>
    <t>Se adelanta la esquematizacón de los modelos hidráulicos en la parte baja del Rio Cauca (sector entre la Coquera y las varas) y la esquematización del modelo hidrológico de la cuenca Alta del Río San Jorge para su incorporación a FEWS. De manera adicional a la meta establecida se avanza en la actualización del Modelo Hidráulico en el río Magdalena.
Ademàs, se avanza en configurar en la vesión stand Alone los modelos del río San Jorge (hidrológico e hidraulico), asì como el modelo hidrológico de la Coquera y se configura el modelo hidráulico entre Salgar y Barrancabermeja luego de su recalibración.</t>
  </si>
  <si>
    <t>La informaciòn topoatimètrica es de la regiòn de la Mojana que cubre las poblaciones de Ayapel, San Marcos, San Benito y Caimito. Se aprovechò la disponibilidad de la informaciòn para generar mapas adicionales. Se cuenta con 4 mapas.</t>
  </si>
  <si>
    <t>Se adelantan 10 contratos y se registra una ejecuciòn por $642`658.894.</t>
  </si>
  <si>
    <t>Se cuenta con un documento preliminar.
Se realizaron talleres con instituciones y con funcionarios y directivos asociadas a la gestión y evaluación del riesgo. Se adelantaron reuniones entre el grupo consultor de Deltares (recursos de cooperación Internacional), el contratista nacional para tal fin y las entidades nacionales.</t>
  </si>
  <si>
    <t>Adicional al documento preliminar, se realizaron talleres con instituciones, con funcionarios y directivos asociadas a la gestión y evaluación del riesgo y el grupo consultor de Deltares (recursos de cooperación Internacional), el contratista nacional para tal fin y las entidades nacionales.
Sin apropiaciòn de recursos.</t>
  </si>
  <si>
    <t>Ajustar el Objetivo de esta Estrategia 5, ya que la estrategia corresponde al Objetivo 2, para no generar inconsistencias en el formato POA2016 e interpretar que corresponde al Objetivo 3.
De otra parte, en el PLAN INDICATIVO CUATRIENAL 2015-2018 -IDEAM, el Objetivo 2, Estrategia 5 y la respectiva Acciòn, està asignada a la Subdirecciòn de Estudios Ambientales, por lo que se debe realizar el ajuste correspondiente en el mencionado documento, dado entre otros, por la socializaciòn de este plan en la pàgina web institucional y su correspondiente connotaciòn de conocimiento pùblico.
Aunque los documentos producidos del indicador 1, hacen parte de los 3 "Productos temáticos generados", se debe ajustar el proceso de identificaciòn para cada uno de ellos o replantear su descripciòn, con el objeto de presentar o estimar una ejecuciòn consistente con lo programado, por lo tanto el avance del 50% no se determina con claridad.
Se deben revisar los indicadores 2 y 3 de esta actividad (4) de la secciòn POA 2016 - PROYECTO DE INVERSIÓN y sus respectivas metas, para evitar confusiones, ya que para el cuatrienio el indicador de "Subsistemas interoperando en el marco de SIAC", tiene una meta para 2016 de 0. Se sugiere rervisar con la Oficina Asesora de Planeaciòn la pertinencia del ajuste del indicador y la meta. Con referencia a la meta de 50 capas se debe revisar si se ajusta como insumo a dichos productos o replantear como producto adicional.
Con relaciòn a la ejecuciòn de recursos se debe definir la ejecuciòn de varios contratos que ascienden a $649`898.590, ya que se consideran programados; lo que conlleva a revisar la aplicaciòn efectiva de estos recursos o de lo contrario, informar con oportunidad a la instancia pertinente para su dispocisiòn, màxime cuando el àrea dispone de una informaciòn como "SALDO SIN PROGRAMAR" de $19`421.867. Estos recursos estàn asociados con la meta 7 de la Subdirecciòn de Estudios Ambientales y estàn direccionados a la elaboraciòn del pliego de condiciones. Al considerar los contratos iniciados, se presenta un 13% de ejecuciòn.</t>
  </si>
  <si>
    <t>DOCUMENTO ND% -Gestiòn 25%
RECURSOS 0%</t>
  </si>
  <si>
    <t>PRODUCTOS:
Meta 1: 35%
RECURSOS 13%</t>
  </si>
  <si>
    <t>Se han realizado varios contratos (89-lider técnico, soporte y mantenimiento del SIRH; 227-sincronización datos de nodos; 231-cargue masivo desde excel y serv. web; 221-disponibilidad de nodos y 223-mejoras a usabilidad y reportes. Se realizò un ajuste al presupuesto y quedò en $374`800.000 y presenta una ejecuciòn de $165`087.715</t>
  </si>
  <si>
    <t>Se realizaron los 5 talleres en Barranquilla, Bogotà (2), Cali y Medellìn.</t>
  </si>
  <si>
    <t>Se implementaron los 5 nodos y estàn en funcionamiento.
Se cuenta con 16 nodos operando, los recursos en 2016 se orientan a la operación de los nodos y mejoramiento de la operación del SIRH.</t>
  </si>
  <si>
    <t>NODOS Y TALLERES:
Meta 1: 100%
Meta 2: 100%
RECURSOS 44%</t>
  </si>
  <si>
    <t>Se adelantaron las actividades conforme a lo planteado y su avance es consistente con lo reportado.
Ejecuciòn presupuestal del 44%.</t>
  </si>
  <si>
    <t>La meta no se realizò en 2015 y se traslada para 2016.
Se adelantan gestiones en la definiciòn de actividades y productos y se consolidó cuadro que incluye los elementos de investigación en el marco misional del IDEAM.
Se elaboró ademàs, protocolo para documentos de carácter científico.</t>
  </si>
  <si>
    <t>Se suscribiò el contrato 205 de 2016. Presenta una ejecuciòn de  $35`942.400.</t>
  </si>
  <si>
    <t>El Plan Indicativo Cuatrienal 2015-2018 no dispone meta para 2016, sin embargo se dispuso adelantar la actividad en èsta vigencia, en razòn a que no se cumpliò la meta descrita en 2015.
La ejecuciòn presupuestal es del 100%.</t>
  </si>
  <si>
    <t>DOCUMENTO ND% -Gestiòn 25%
RECURSOS 100%</t>
  </si>
  <si>
    <t>No tiene meta para este año.</t>
  </si>
  <si>
    <r>
      <rPr>
        <u/>
        <sz val="10"/>
        <color theme="1"/>
        <rFont val="Arial"/>
        <family val="2"/>
      </rPr>
      <t>JUN/16</t>
    </r>
    <r>
      <rPr>
        <sz val="10"/>
        <color theme="1"/>
        <rFont val="Arial"/>
        <family val="2"/>
      </rPr>
      <t xml:space="preserve">: El proceso de la información incluye los años 2015 y 2016. La operaciónn de la red se inició en el mes de abril y a junio se realizó la visita a todas las estaciones de la red. El avance de los meses procesados del 2015 va en 70% y del 2016 en el 18%, para los dos años van en 46%. </t>
    </r>
    <r>
      <rPr>
        <sz val="10"/>
        <color rgb="FFFF0000"/>
        <rFont val="Arial"/>
        <family val="2"/>
      </rPr>
      <t xml:space="preserve">Avance 46%.
</t>
    </r>
    <r>
      <rPr>
        <u/>
        <sz val="10"/>
        <color rgb="FFFF0000"/>
        <rFont val="Arial"/>
        <family val="2"/>
      </rPr>
      <t>AGT/16</t>
    </r>
    <r>
      <rPr>
        <sz val="10"/>
        <color rgb="FFFF0000"/>
        <rFont val="Arial"/>
        <family val="2"/>
      </rPr>
      <t>: El proceso de la información incluye los años 2015 y 2016. La operación de la red se inició en el mes de abril y a agosto se ha adelantado el proceso de información, teniendo en cuenta que la información hidrológica se verifica de manera anual. El avance de los meses procesados del 2015 va en 71% y del 2016 en el 25%, para los dos años van en 49%. Avance 49%.</t>
    </r>
  </si>
  <si>
    <r>
      <rPr>
        <u/>
        <sz val="10"/>
        <color theme="1"/>
        <rFont val="Arial"/>
        <family val="2"/>
      </rPr>
      <t>JUN/16</t>
    </r>
    <r>
      <rPr>
        <sz val="10"/>
        <color theme="1"/>
        <rFont val="Arial"/>
        <family val="2"/>
      </rPr>
      <t xml:space="preserve">: Ya se realizó el contrato para la adquisición de los equipos. El grupo de automatización cuenta con los equipos para las cinco estaciones sinópticas. Dos estaciones se tienen programdas para el mes de julio y las otras tres están pendientes del permiso para las instalación en el segundo semestre del año. </t>
    </r>
    <r>
      <rPr>
        <sz val="10"/>
        <color rgb="FFFF0000"/>
        <rFont val="Arial"/>
        <family val="2"/>
      </rPr>
      <t xml:space="preserve">Avance 15%.
</t>
    </r>
    <r>
      <rPr>
        <u/>
        <sz val="10"/>
        <color rgb="FFFF0000"/>
        <rFont val="Arial"/>
        <family val="2"/>
      </rPr>
      <t>AGT/16</t>
    </r>
    <r>
      <rPr>
        <sz val="10"/>
        <color rgb="FFFF0000"/>
        <rFont val="Arial"/>
        <family val="2"/>
      </rPr>
      <t>: Se intalaron las estaciones de los aeropuertso El Eden - Armentia y Alfonso López - Valledupar. Est´n pendientes por permiso las de los aeropuertos de las ciudades de Santa Marta, ibagué y Neiva. Avance 40%.</t>
    </r>
  </si>
  <si>
    <r>
      <rPr>
        <u/>
        <sz val="10"/>
        <color theme="1"/>
        <rFont val="Arial"/>
        <family val="2"/>
      </rPr>
      <t>JUN/16</t>
    </r>
    <r>
      <rPr>
        <sz val="10"/>
        <color theme="1"/>
        <rFont val="Arial"/>
        <family val="2"/>
      </rPr>
      <t xml:space="preserve">: Se entregaron a la oficina asesora jurídica los estudios previos con los soportes para adelantar el proceso de contratación para la reubicación de las 13 estaciones metorológicas convencionales, de acuerdo con el estudio de precios del mercado. Se tiene programado en julio iniciar el proceso con la publicación de prepliegos. </t>
    </r>
    <r>
      <rPr>
        <sz val="10"/>
        <color rgb="FFFF0000"/>
        <rFont val="Arial"/>
        <family val="2"/>
      </rPr>
      <t xml:space="preserve">Avance 15%.
</t>
    </r>
    <r>
      <rPr>
        <u/>
        <sz val="10"/>
        <color rgb="FFFF0000"/>
        <rFont val="Arial"/>
        <family val="2"/>
      </rPr>
      <t>AGT/16</t>
    </r>
    <r>
      <rPr>
        <sz val="10"/>
        <color rgb="FFFF0000"/>
        <rFont val="Arial"/>
        <family val="2"/>
      </rPr>
      <t>: Se encuentra en trámite el proceso de licitanción pública N° o1 de 2016 para la instalación de 13 estaciones convencionales meteorológicas: 6 en el AO - 06 - Duitama, $ en AO - 04 - Neiva y 3 en AO - 09 - Cali. El proceso se debe adjudicar en septiembre. Avance 20%.</t>
    </r>
  </si>
  <si>
    <r>
      <rPr>
        <u/>
        <sz val="10"/>
        <color theme="1"/>
        <rFont val="Arial"/>
        <family val="2"/>
      </rPr>
      <t>JUN/16</t>
    </r>
    <r>
      <rPr>
        <sz val="10"/>
        <color theme="1"/>
        <rFont val="Arial"/>
        <family val="2"/>
      </rPr>
      <t xml:space="preserve">: En el mes junio el Instituto Nacional de Metrología. INM presentó la propuesta para adelantar para el desarrollo de actividades científicas y tecnológicas en el marco de un programa de asistencia técnica metrológica, para acompañar técnicamente al Instituto en los procesos de calibración de tiempo, tensión y corriente DC, volumen, presión, temperatura y humedad. </t>
    </r>
    <r>
      <rPr>
        <sz val="10"/>
        <color rgb="FFFF0000"/>
        <rFont val="Arial"/>
        <family val="2"/>
      </rPr>
      <t xml:space="preserve">Avance 10%.
</t>
    </r>
    <r>
      <rPr>
        <u/>
        <sz val="10"/>
        <color rgb="FFFF0000"/>
        <rFont val="Arial"/>
        <family val="2"/>
      </rPr>
      <t>AGT/16</t>
    </r>
    <r>
      <rPr>
        <sz val="10"/>
        <color rgb="FFFF0000"/>
        <rFont val="Arial"/>
        <family val="2"/>
      </rPr>
      <t>: Se entregaron a la oficina asesora jurídica los estudios previos con todos los soportes para adelantar el proceso para el contrato interadministrativo con el INM. Avance 15%.</t>
    </r>
  </si>
  <si>
    <t>Aunque en 2016 no se presentan estaciones, se consideran los siguientes aspectos.
-Existencia de estaciones convencionales (Con observador).
-Convertir sistemas convencionales a sistemas autònomos (automàticas).
-Hay 163 estaciones automatizadas en tiempo real.
-Avanzar en el proyecto del fortalecimiento de alertas tempranas a causa del fenòmeno La Niña 2010-2011.
-Convenio 4/2012 con el Fondo Adaptaciòn (Presidencia) que dispone de recursos por $22.771`771.017.
-La meta del PND 2014-2018, contempla 457 estaciones en tiempo real (210 nuevas y 247 de las que tiene el IDEAM para repotenciar -de unidireccional a bidireccional) y 73 estaciones se hacen con recursos propios.
-Existen convenios con otras instancias para automatizar (Cenicafè, CARs).</t>
  </si>
  <si>
    <t xml:space="preserve">Se incluyò èsta actividad para operar y mantener la red existente, al considerar la asignaciòn de recursos por inversiòn.
De otra parte, se contempla el mantenimiento de las estaciones actuales como compromiso asociado al Plan Nacional de Desarrollo 2014-2018 (PND).
</t>
  </si>
  <si>
    <t>De los $1.814`888.210 como recursos de inversiòn, se registran $470`151.899 en ejecuciòn (Julio/16).
Se contempla reasignar recursos de inversiòn hacia funcionamiento en atenciòn a que el mantenimiento es permamente y es actividad funcional/misional del IDEAM, con el propòsito de asegurar su operatividad.
De igual forma, se estima la compra de equipos para la red de estaciones automàticas, equipos de automatizaciòn, para la red convencional, para el grupo de instrumentacion y metalmecanica.</t>
  </si>
  <si>
    <t>MESES REPORTADOS 49%
RECURSOS INVERSION 26%</t>
  </si>
  <si>
    <t>Aunque la actividad general y meta del cuatrienio consignada en el PND 2014-2018, està asociada con las 530 estaciones actualizadas, se adicionò la actividad 2 en el POA2016, para actualizar el banco de datos, dados los recursos de inversiòn asignados. Sin embargo, se sugiere separar estas actidades y disponer por separado de èsta actividad, asì como describir las bases sobre las cuales se ejecutaràn las acciones.
Con relaciòn al reporte de avance, se sugiere tener claridad en la descripciòn de la meta, ya que al revisar el avance del primer bimestre se indicò que se habìa logrado un 59% de meses procesados de 2015 y para el cuarto bimestre se alcanza un 71% de los mismos.</t>
  </si>
  <si>
    <t xml:space="preserve">Se identificaron las estaciones sinópticas de los aeropuertos:
1. Alfonso López - Valledupar.
2.El Eden - Armenia.
3.Santa Marta.
4.Neiva.
5.Ibaguè.
Se intalaron las estaciones de El Eden - Armentia y Alfonso López - Valledupar. Estàn pendientes por permiso los aeropuertos de Santa Marta, ibagué y Neiva. </t>
  </si>
  <si>
    <t xml:space="preserve">Se debe revisar y ajustar la meta POA2016 con el reporte del àrea (Matriz de indicadores), ya que al parecer se trata de 13 estaciones y no de 15. Las 13 estaciones son consistentes con lo registrado hasta la fecha por el àrea.
</t>
  </si>
  <si>
    <t>Se identificò la reubicaciòn de las estaciones, asì:
1. En àrea operativa Neiva - 4
2. En àrea operativa Duitama - 6
1. En àrea operativa Cali - 3 (Inicialmente se habìan programado 5).
Se encuentra en elaboración los estudios previos, que incluye los estudios de precios del mercado y del sector, para la instalaciòn.</t>
  </si>
  <si>
    <t>No se han ejecutado recursos (Licitaciòn en proceso de evaluaciòn).</t>
  </si>
  <si>
    <t>ESTACIONES ND - GESTION 25%
RECURSOS 0%</t>
  </si>
  <si>
    <t xml:space="preserve">El Instituto Nacional de Metrología -INM, presentó la propuesta para adelantar el desarrollo de actividades científicas y tecnológicas en el marco de un programa de asistencia técnica metrológica, con el objeto de acompañar técnicamente al IDEAM en los procesos de calibración de tiempo, tensión y corriente DC, volumen, presión, temperatura y humedad.
Se entregaron a la Oficina Asesora Jurìdica los estudios previos para adelantar el contrato interadministrativo con el INM.
</t>
  </si>
  <si>
    <t>ACCIONES ND - GESTION 25%
RECURSOS 0%</t>
  </si>
  <si>
    <t>No se han ejecutado recursos (En proceso el contrato interadministrativo con el Instituto Nacional de Metrología -INM).</t>
  </si>
  <si>
    <t>Se sugiere revisar si las acciones por implementar se encuentran incluìdas en el diagnóstico entregado en el 2014 por el Instituto Nacional de Metrología -INM, ya que se podrìan considerar como los componentes del acompañamiento del INM, para establecer la consistencia con la formulaciòn de la actividad y su indicador y determinar su cumplimiento progresivo, en especial para determinar cual serìa el 35% de avance para el año 2016.
El avance, por tanto se asocia con la gestiòn administrativa y no con unas actividades previamente establecidas.
Coordinar con la Oficina Asesora de Planeaciòn su ajuste, de ser pertinente.</t>
  </si>
  <si>
    <t xml:space="preserve">Se han identificado componentes/elementos del plan.
Se dispone de un borrador en revisiòn. </t>
  </si>
  <si>
    <r>
      <rPr>
        <u/>
        <sz val="10"/>
        <color theme="1"/>
        <rFont val="Arial"/>
        <family val="2"/>
      </rPr>
      <t>JUN/16</t>
    </r>
    <r>
      <rPr>
        <sz val="10"/>
        <color theme="1"/>
        <rFont val="Arial"/>
        <family val="2"/>
      </rPr>
      <t xml:space="preserve">: Se está revisando la información existente en el IDEAM de los trabajos realizados en el tema de reingeniería de la red. </t>
    </r>
    <r>
      <rPr>
        <sz val="10"/>
        <color rgb="FFFF0000"/>
        <rFont val="Arial"/>
        <family val="2"/>
      </rPr>
      <t xml:space="preserve">Avance 15%.
</t>
    </r>
    <r>
      <rPr>
        <u/>
        <sz val="10"/>
        <color rgb="FFFF0000"/>
        <rFont val="Arial"/>
        <family val="2"/>
      </rPr>
      <t>AGT/16</t>
    </r>
    <r>
      <rPr>
        <sz val="10"/>
        <color rgb="FFFF0000"/>
        <rFont val="Arial"/>
        <family val="2"/>
      </rPr>
      <t>: Se continua revisando la información existente en el IDEAM de los trabajos realizados en el tema de reingeniería de la red. Avance 20%.</t>
    </r>
  </si>
  <si>
    <t>Dado lo corrido de la vigencia, se sugiere replantear su cumplimiento para el 2016.
El avance, se asocia con la gestiòn administrativa.
Coordinar con la Oficina Asesora de Planeaciòn su ajuste, de ser pertinente.</t>
  </si>
  <si>
    <t>La actividad no tiene registrada meta para el 2016.
Es meta del Plan Nacional de Desarrollo 2014-2018 (Folio 695 PND), por lo que se sugiere determinar unas actividades previas que propendan por su cumplimiento oportunamente.
No se asignaron recursos para la vigencia.
En 2015 el IDEAM reportò 19 estaciones, aunque no tenìa meta POA en dicha vigencia, por lo que se debe definir si hacen parte de la meta del cuatrienio y se podrìan contemplar para la pròxima vigencia o son adicionales.</t>
  </si>
  <si>
    <r>
      <rPr>
        <u/>
        <sz val="9"/>
        <color theme="1"/>
        <rFont val="Arial"/>
        <family val="2"/>
      </rPr>
      <t>JUN/16</t>
    </r>
    <r>
      <rPr>
        <sz val="9"/>
        <color theme="1"/>
        <rFont val="Arial"/>
        <family val="2"/>
      </rPr>
      <t xml:space="preserve">: En el marco del Convenio 004 de 2012 (Ideam- Fondo Adaptación), se  llevó a cabo la gestión logística para realizar las visitas a los tres puntos previstos de emplazamiento de los radares meteorológicos como parte del proceso Licitatorio 003 de 2016 adelantado desde el Fondo Adaptación (23/05/2016 Visita Bahía Málaga, 25/05/2016 San José del Guaviare, 27/05/2016 Barrancabermeja). En las visitas se contó con la participación de funcionarios del Fondo Adaptación, IDEAM, Ecopetrol, FAC, Armada Nacional, Ejercito Nacional y los potenciales proponentes. Dichas visitas tuvieron por objeto conocer las condiciones técnicas y logísticas por parte de los posibles proponentes a fin de poder estimar los costos al momento de presentar su oferta en el marco del citado proceso. Adicionalmente, desde el IDEAM se ha venido apoyado el proceso precontractual que adelanta el Fondo Adaptación para la adquisición de los radares meteorológicos, en el sentido de gestionar la respuesta a observaciones técnicas que han surgido a los pliegos borrador de la licitación por parte de los posibles oferentes. Así mismo, se generaron y se remitieron a la Armada Nacional, Ejercito Nacional y Ecopetrol, las propuestas de minuta para la suscripción de convenios a fin de oficializar de los terrenos para el emplazamiento de los tres radares meteorológicos. </t>
    </r>
    <r>
      <rPr>
        <sz val="9"/>
        <color rgb="FFFF0000"/>
        <rFont val="Arial"/>
        <family val="2"/>
      </rPr>
      <t xml:space="preserve">Avance 40%.
</t>
    </r>
    <r>
      <rPr>
        <u/>
        <sz val="9"/>
        <color rgb="FFFF0000"/>
        <rFont val="Arial"/>
        <family val="2"/>
      </rPr>
      <t>AGT/16</t>
    </r>
    <r>
      <rPr>
        <sz val="9"/>
        <color rgb="FFFF0000"/>
        <rFont val="Arial"/>
        <family val="2"/>
      </rPr>
      <t xml:space="preserve">: </t>
    </r>
    <r>
      <rPr>
        <sz val="9"/>
        <color theme="1"/>
        <rFont val="Arial"/>
        <family val="2"/>
      </rPr>
      <t xml:space="preserve">Una vez llevadas a cabo las visitas de campo con los posibles proponentes a los puntos de emplazamiento de los radares meteorológcios (Barrancabermeja, San José del Guaviare y Bahía Málaga) en el marco de la Licitación 003 de 2016 como parte de las actividades del Convenio 004 de 2012 (IDEAM-FONDO ADAPTACIÓN), se procedio a seguir gestionando la suscripciíon de los comodatos con Ecopetrol, Ejercito Nacional y Armada Nacional respectivamente. A la fecha del presente informe, con Armada Nacional se llevarón a cabo dos reuniones a fin de aclarar dudas técncas con relación a la instalación del radar en Bahía Málaga, producto de las citadas reuniones la Armada Nacional indico al IDEAM- Fondo y FAC, que no es posible la instalación del radar en este lugar dado que allí se encuentra un sensor activio de alta seguridad nacional que podría verse afectado (Soportes actas: 12 y 26 de Agosto de 2016); ante la nueva situación IDEAM avanzó en la gestión para la ubicación de un nuevo sitio de ubicación de este radar con ayuda del Ejercito Nacional en el Departamento del Cauca (Popayan), previamente adelantando un análisis de modelación de la cobertura y las condiciones meteorológicas y técnicas para su viabilidad en esta zona del país. Para dar alcance a lo anterior, se tiene previsto llevar a cabo una visita inicial de reconocimiento a las inatalaciones del Ejercito Nacional la primera semana de septiembre. Con respecto al comodato con Ecopetrol para la instalación del radar meterológico en Barrancabermeja este fue firmado por las partes y de esta manera ya se encuentra oficializado su suscripción. Con relación al comodato para San José del Guaviare, este aún se encuentra en proceso de revisión por el Ejercito Nacional. </t>
    </r>
    <r>
      <rPr>
        <sz val="9"/>
        <color rgb="FFFF0000"/>
        <rFont val="Arial"/>
        <family val="2"/>
      </rPr>
      <t>Avance 60%.</t>
    </r>
  </si>
  <si>
    <r>
      <rPr>
        <u/>
        <sz val="9"/>
        <color theme="1"/>
        <rFont val="Arial Narrow"/>
        <family val="2"/>
      </rPr>
      <t>JUN/16</t>
    </r>
    <r>
      <rPr>
        <sz val="9"/>
        <color theme="1"/>
        <rFont val="Arial Narrow"/>
        <family val="2"/>
      </rPr>
      <t xml:space="preserve">: Al 30 de junio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305 boletines que incorporan dicha información del Centro Europeo, los cuales se encuentran disponibles en: Z:\PRODUCTOS OSPA - NO BORRAR\BOLETINES DIARIOS PRONÓSTICO\Informe Condiciones Hidrometeorológicas\2016\mayo y Z:\PRODUCTOS OSPA - NO BORRAR\BOLETINES DIARIOS PRONÓSTICO\Informe Condiciones Hidrometeorológicas\2016\junio (Se adjuntan evidencias).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 xml:space="preserve">Al 31 de agosto de 2016, el Centro Europeo ha continuado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307 boletines que incorporan dicha información del Centro Europeo, los cuales se encuentran disponibles en: A:\PRODUCTOS OSPA - NO BORRAR\BOLETINES DIARIOS PRONÓSTICO\Informe Condiciones Hidrometeorológicas\2016\julio y A:\PRODUCTOS OSPA - NO BORRAR\BOLETINES DIARIOS PRONÓSTICO\Informe Condiciones Hidrometeorológicas\2016\agosto (Se adjuntan evidencias). Actualmente, estamos en el proceso de renovación de la licencia con el Centro Europeo, trámite que se inició el día 25-04-2016 con los correo entre Christophe Seynaeve &lt;Christophe.Seynaeve@ecmwf.int&gt; y la funcionaria de la OSPA Jeimmy Yanely Melo Franco &lt;jmelo@ideam.gov.co&gt; (anexo copia de los correos). El trámite se radicó a jurídica el día 14-07-2016 con el radicadod e orfeo 20161050001893 y con expediente No. 2013105992200005E. Es de aclarar que aunque el contrato está pendiente para la firma del ECMWF, el servicio de transmisión de datos no ha sido suspendido por parte del Centro Europeo. </t>
    </r>
    <r>
      <rPr>
        <sz val="9"/>
        <color rgb="FFFF0000"/>
        <rFont val="Arial Narrow"/>
        <family val="2"/>
      </rPr>
      <t>Avance 67%.</t>
    </r>
  </si>
  <si>
    <r>
      <rPr>
        <u/>
        <sz val="9"/>
        <color theme="1"/>
        <rFont val="Arial Narrow"/>
        <family val="2"/>
      </rPr>
      <t>JUL/16</t>
    </r>
    <r>
      <rPr>
        <sz val="9"/>
        <color theme="1"/>
        <rFont val="Arial Narrow"/>
        <family val="2"/>
      </rPr>
      <t xml:space="preserve">: A partir de la disponibilidad de datos e información generada por la red de monitoreo de actividad por rayos, la Empresa Keraunos suministro al IDEAM los datos e información hasta inicios del mes de junio a través del contrato No. 164 de 2015, para que la misma fuese incorporada a los boletines de condiciones hidrometeorológicas diarias generados por la Oficina del Servicio de Pronósticos y Alertas - OSPA los 365 días al año. A la fecha del presente informe, la OSPA reporta la generación de 305 boletines de condiciones hidrometeorológicas diarias (meses de mayo 155 y junio 150) . Los informes se encuentran disponibles en la página wweb del IDEAM y pueden ser consultados a través del siguiente enlace:http://goo.gl/U04LnU. De la misma manera dichos boletines se envian via email a: alcaldias@ideam.gov.co; alcaldes_personal@ideam.gov.co; asociaciones_ambientales@gov.co; corporaciones@ideam.gov.co; federaciones@ideam.gov.co;gestionriesgo_crepadyclopad@ideam.gov.co; gobernaciones@ideam.gov.co; ministerios_presidencia@ideam.gov.co, sina_otrasentidades@ideam.gov.co; auribe@ideam.gov.co. Adicionalmente, la OSPA adelantó los Estudios Previos y documentación anexa, para que se llevará a cabo el nuevo proceso de contratación del servicio de suministro de información de actividad de rayos, lo cual permitió la publicación de la Licitación por menor cuantía No. 014 de 2016 , publicado en el secop el día 13-06-2016 05:40 PM, y que puede ser consultada a través del siguiente enlace: https://www.contratos.gov.co/consultas/detalleProceso.do?numConstancia=16-11-5219763.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A partir de la disponibilidad de datos e información generada por la red de monitoreo de actividad por rayos, la Empresa Keraunos suministró al IDEAM los datos e información a través del contrato No. 164 de 2015 y el nuevo contrato 236 de 2016, para que la misma fuese incorporada a los boletines de condiciones hidrometeorológicas diarias generados por la Oficina del Servicio de Pronósticos y Alertas - OSPA los 365 días al año. A la fecha del presente informe, la OSPA reporta la generación de 310 boletines de condiciones hidrometeorológicas diarias (meses de julio 155 y agosto 155) . Los informes se encuentran disponibles en la página wweb del IDEAM y pueden ser consultados a través del siguiente enlace: http://goo.gl/U04LnU. De la misma manera dichos boletines se envian via email a: alcaldias@ideam.gov.co; alcaldes_personal@ideam.gov.co; asociaciones_ambientales@gov.co; corporaciones@ideam.gov.co; federaciones@ideam.gov.co; gestionriesgo_crepadyclopad@ideam.gov.co; gobernaciones@ideam.gov.co; ministerios_presidencia@ideam.gov.co, sina_otrasentidades@ideam.gov.co; auribe@ideam.gov.co.</t>
    </r>
    <r>
      <rPr>
        <sz val="9"/>
        <color rgb="FFFF0000"/>
        <rFont val="Arial Narrow"/>
        <family val="2"/>
      </rPr>
      <t xml:space="preserve"> Avance 67%.</t>
    </r>
  </si>
  <si>
    <t xml:space="preserve">Hasta agosto 2016, no se presenta ejecuciòn de recursos.
Se considera aplicarlos para la renovaciòn de la licencia.
</t>
  </si>
  <si>
    <t>BOLETINES 67%
RECURSOS 0%</t>
  </si>
  <si>
    <t>BOLETINES 100% -Cambio de meta
RECURSOS 54%</t>
  </si>
  <si>
    <r>
      <rPr>
        <u/>
        <sz val="9"/>
        <color theme="1"/>
        <rFont val="Arial Narrow"/>
        <family val="2"/>
      </rPr>
      <t>JUN/16</t>
    </r>
    <r>
      <rPr>
        <sz val="9"/>
        <color theme="1"/>
        <rFont val="Arial Narrow"/>
        <family val="2"/>
      </rPr>
      <t xml:space="preserve">: Para los meses de mayo y junio de 2016,  la Oficina de Pronósticos y Alertas generó: 61 Informes Diarios de Alertas  los cuales pueden ser consultados en la página web: http://www.pronosticosyalertas.gov.co/alertas y asi mismo se encuentran disponibles en el archivo documental de la OSPA en Z:\PRODUCTOS OSPA - NO BORRAR\BOLETINES DIARIOS PRONÓSTICO\Informes  Diarios de Alertas\2016\mayo y Z:\PRODUCTOS OSPA - NO BORRAR\BOLETINES DIARIOS PRONÓSTICO\Informes  Diarios de Alertas\2016\junio.- 61 Informes Diarios de Incendios de la Cobertura Vegetal en Colombia los cuales pueden ser consultados en la página web:http://goo.gl/zDjIo8.- 61 informes diarios  Amenaza por deslizamientos los cuales pueden ser consultados a través de la pagina web de IDEAM: http://goo.gl/qKWkCn.- 122 Informes de Condiciones Hidrometeorológicas  los cuales pueden ser consultados a través de la pagina web de IDEAM: http://goo.gl/CmF1at.- En cuanto a informes relacionados con la situación sinóptica se generarón 61 Informes diarios de condiciones sinópticas los cuales pueden ser consultados en: Z:\PRODUCTOS DIARIOS DE PRONOSTICO\SITUACION SINOPTICA\2016\3. mayo y Z:\PRODUCTOS DIARIOS DE PRONOSTICO\SITUACION SINOPTICA\2016\4. junio. Adicionalmente se generaron  para enero y febrero 8 informes resumen de condiciones sinópticas, los cuales pueden ser consultados en la página web de IDEAM a través del siguiente enlace: http://goo.gl/pCnCXW. </t>
    </r>
    <r>
      <rPr>
        <sz val="9"/>
        <color rgb="FFFF0000"/>
        <rFont val="Arial Narrow"/>
        <family val="2"/>
      </rPr>
      <t xml:space="preserve">Avance 51%.
</t>
    </r>
    <r>
      <rPr>
        <u/>
        <sz val="9"/>
        <color rgb="FFFF0000"/>
        <rFont val="Arial Narrow"/>
        <family val="2"/>
      </rPr>
      <t>AGT/16</t>
    </r>
    <r>
      <rPr>
        <sz val="9"/>
        <color rgb="FFFF0000"/>
        <rFont val="Arial Narrow"/>
        <family val="2"/>
      </rPr>
      <t xml:space="preserve">: </t>
    </r>
    <r>
      <rPr>
        <sz val="9"/>
        <rFont val="Arial Narrow"/>
        <family val="2"/>
      </rPr>
      <t>Para los meses de julio y agosto de 2016,  la Oficina de Pronósticos y Alertas generó:- 62 Informes Diarios de Alertas  los cuales pueden ser consultados en la página web: http://www.pronosticosyalertas.gov.co/alertas y asi mismo se encuentran disponibles en el archivo documental de la OSPA en A:\PRODUCTOS OSPA - NO BORRAR\BOLETINES DIARIOS PRONÓSTICO\Informes  Diarios de Alertas\2016\julio y A:\PRODUCTOS OSPA - NO BORRAR\BOLETINES DIARIOS PRONÓSTICO\Informes  Diarios de Alertas\2016\agosto.- 62 Informes Diarios de Incendios de la Cobertura Vegetal en Colombia los cuales pueden ser consultados en la página web:http://goo.gl/zDjIo8.- 59 informes diarios  Amenaza por deslizamientos los cuales pueden ser consultados a través de la pagina web de IDEAM: http://goo.gl/qKWkCn.- 124 Informes de Condiciones Hidrometeorológicas  los cuales pueden ser consultados a través de la pagina web de IDEAM: http://goo.gl/CmF1at.- En cuanto a informes relacionados con la situación sinóptica se generarón 62 Informes diarios de condiciones sinópticas los cuales pueden ser consultados en: A:\PRODUCTOS DIARIOS DE PRONOSTICO\SITUACION SINOPTICA\2016\julio y A:\PRODUCTOS DIARIOS DE PRONOSTICO\SITUACION SINOPTICA\2016\agosto Adicionalmente se generaron  para julio y agosto 2 informes resumen de condiciones sinópticas, los cuales pueden ser consultados en la página web de IDEAM a través del siguiente enlace: http://goo.gl/pCnCXW.</t>
    </r>
    <r>
      <rPr>
        <sz val="9"/>
        <color rgb="FFFF0000"/>
        <rFont val="Arial Narrow"/>
        <family val="2"/>
      </rPr>
      <t xml:space="preserve"> Avance 68%.</t>
    </r>
  </si>
  <si>
    <r>
      <rPr>
        <u/>
        <sz val="9"/>
        <color theme="1"/>
        <rFont val="Arial Narrow"/>
        <family val="2"/>
      </rPr>
      <t>JUN/16</t>
    </r>
    <r>
      <rPr>
        <sz val="9"/>
        <color theme="1"/>
        <rFont val="Arial Narrow"/>
        <family val="2"/>
      </rPr>
      <t xml:space="preserve">: En los meses de mayo y junio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mayo  y junio, la realización de 10 presentaciones de Condiciones Hidrometeorológcios, en el marco de los Comités de Manejo realizados por la Unidad Nacional de Gestión del Riesgo de Desastres.  
Adicionalmente se llevaron a cabo 17  presentaciones ante Ministerios, Gobernaciones, Municipios, Corporaciones Autónomas regionales y otras entidades. Toda la información anterior  pueden ser consultada en el archivo documental de la OSPA. Para el presente periodo de reporte se asesorarón 9 entidades tales como: Antioquia, Santander, Nariño, Bolivar, Boyacá, Cundinamarca, villavicencio y Pasto; Otras entidades: UNGRD, ANDI y Presidencia de la República.
Adicionalmente fueron generados 2 boletines  informativos sobre el monitoreo de los Fenómenos de variabilidad climática "El Niño" y "La Niña" para los meses de mayo y junio. Los cuales pueden ser consultados en la página web del IDEAM: http://goo.gl/asPdRo. </t>
    </r>
    <r>
      <rPr>
        <sz val="9"/>
        <color rgb="FFFF0000"/>
        <rFont val="Arial Narrow"/>
        <family val="2"/>
      </rPr>
      <t xml:space="preserve">Avance 100%.
</t>
    </r>
    <r>
      <rPr>
        <u/>
        <sz val="9"/>
        <color rgb="FFFF0000"/>
        <rFont val="Arial Narrow"/>
        <family val="2"/>
      </rPr>
      <t>AGT/16</t>
    </r>
    <r>
      <rPr>
        <sz val="9"/>
        <color rgb="FFFF0000"/>
        <rFont val="Arial Narrow"/>
        <family val="2"/>
      </rPr>
      <t xml:space="preserve">: </t>
    </r>
    <r>
      <rPr>
        <sz val="9"/>
        <rFont val="Arial Narrow"/>
        <family val="2"/>
      </rPr>
      <t>En los meses de julio y agosto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julio y agosto, la realización de 9 presentaciones de Condiciones Hidrometeorológcios, en el marco de los Comités de Manejo realizados por la Unidad Nacional de Gestión del Riesgo de Desastres.  
Adicionalmente se llevaron a cabo 9  presentaciones ante Ministerios, Gobernaciones, Municipios, Corporaciones Autónomas regionales y otras entidades. Toda la información anterior  pueden ser consultada en el archivo documental de la OSPA. Para el presente periodo de reporte se asesorarón 9 entidades tales como: Amazonia, Antioquia, Nariño, Quindio, Tolima, Caldas, Magdalena, Huila y Valle del Cauca.
Adicionalmente fueron generados 2 boletines  informativos sobre el monitoreo de los Fenómenos de variabilidad climática "El Niño" y "La Niña" para los meses de mayo y junio. Los cuales pueden ser consultados en la página web del IDEAM: http://goo.gl/asPdRo.</t>
    </r>
    <r>
      <rPr>
        <sz val="9"/>
        <color rgb="FFFF0000"/>
        <rFont val="Arial Narrow"/>
        <family val="2"/>
      </rPr>
      <t xml:space="preserve"> Avance 100%.</t>
    </r>
  </si>
  <si>
    <r>
      <rPr>
        <u/>
        <sz val="9"/>
        <color theme="1"/>
        <rFont val="Arial Narrow"/>
        <family val="2"/>
      </rPr>
      <t>JUN/16</t>
    </r>
    <r>
      <rPr>
        <sz val="9"/>
        <color theme="1"/>
        <rFont val="Arial Narrow"/>
        <family val="2"/>
      </rPr>
      <t xml:space="preserve">: La Oficina del Servicio de Pronósticos y Alertas generó 8 Boletines Agrometeorológicos semanales entre mayo y junio del 2016, los cuales pueden ser consultados a través del siguiente enlace de la página web del IDEAM: http://goo.gl/WdLwp2
Adicionalmente generó 183 boletines diarios de pronósticos que incorpora la información por regiones  de pronósticos por regiones los cuales  se encuentran disponibles en: Z:\PRODUCTOS OSPA - NO BORRAR\BOLETINES DIARIOS PRONÓSTICO\Informe Condiciones Hidrometeorológicas\2016\mayo yZ:\PRODUCTOS OSPA - NO BORRAR\BOLETINES DIARIOS PRONÓSTICO\Informe Condiciones Hidrometeorológicas\2016\junio.
La Oficina del Servicio de Pronósticos y Alertas emitio para los meses de mayo y junio de 2016  16 boletines de pronóstico para Cerrejón, los cuales son enviados mediante correo electrónico. Toda la información anterior  pueden ser consultadas en el archivo documental de la OSPA.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La Oficina del Servicio de Pronósticos y Alertas generó 9 Boletines Agrometeorológicos semanales entre julio y agosto de 2016, los cuales pueden ser consultados a través del siguiente enlace de la página web del IDEAM: http://goo.gl/WdLwp2
Adicionalmente generó 307 boletines diarios de pronósticos que incorpora la información de pronósticos por regiones los cuales  se encuentran disponibles en: A:\PRODUCTOS OSPA - NO BORRAR\BOLETINES DIARIOS PRONÓSTICO\Informe Condiciones Hidrometeorológicas\2016\julio y agosto.
La Oficina del Servicio de Pronósticos y Alertas emitio para los meses de mayo y junio de 2016  17 boletines de pronóstico para Cerrejón, los cuales son enviados mediante correo electrónico. Toda la información anterior  pueden ser consultadas en el archivo documental de la OSPA.</t>
    </r>
    <r>
      <rPr>
        <sz val="9"/>
        <color rgb="FFFF0000"/>
        <rFont val="Arial Narrow"/>
        <family val="2"/>
      </rPr>
      <t xml:space="preserve"> Avance 67%.</t>
    </r>
  </si>
  <si>
    <t>Boletines agrometeorológicos (12) y climáticos (12).</t>
  </si>
  <si>
    <t>(1) Reuniòn con Gabriel Saldarriaga y William Perdomo, funcionarios del Grupo Operaciòn de Redes, el 8/SPT/16 (6 Actividades - 6 Metas - 21 Productos).
Asociar e incluir la acciòn descrita en el Plan Indicativo Cuatrienal 2014-2018, que indica: Fortalecer el sistema de monitoreo y de alertas tempranas.
Dada la modificaciòn del organigrama institucional, el Grupo de Operaciòn de Redes no figura como dependencia, por lo que se sugiere revisar el ajuste del POA2016.
Dcto. 2482/12.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</si>
  <si>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(1) -Reuniòn con la Subdirectora de Ecosistemas e Informaciòn Ambiental, Sra. Marìa Saralux Valbuena el 7/SPT/16 (4 Actividades - 7 Metas - 67 Productos).
-Pese a que esta Subdirecciòn tiene a cargo, segùn el PLAN INDICATIVO CUATRIENAL 2015-2018 -IDEAM, el desarrollo del Objetivo 2, Estrategia 1 y la Acción: Uso de instrumentos económicos y la valoración de la biodiversidad, no se registran actividades en este POA2016. Por lo que se sugiere, que la Oficina Asesora de Planeaciòn debe realizar los ajustes pertinentes.
Dcto. 2482/12.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</si>
  <si>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Se presenta un avance (67%) que està relacionado con el desarrolo de las tareas del àrea y se registra como apreciaciòn objetiva de la dependencia.
Para lo corrido de èsta vigencia y al tener en cuenta el soporte de operación y administración de los 3 sistemas mencionados (SSHM, Hydras y CNE), se puede indicar que el avance en el mantenimiento de los aplicativos sujetos a ser "probados e implementados" serìa del 43%. Sin embargo, èste dato de por sì genera confusiòn si se relaciona con la meta del 20% para el 2016, ya que no solo se trata de realizar mantenimiento a los aplicativos existentes, sino que ademàs se debe tener en cuenta los que puedan ser requeridos por las áreas, bien sea por construcciòn o adquisiciòn durante la vigencia, situaciòn que genera incertidumbre al no conocer con exactitud la lìnea base de los sistemas de informaciòn; adicionalmente se presenta un indicador de resultado con una meta que estarìa sujeta a demanda, para lo cual se sugiere adelantar con la Oficina Asesora de Planeaciòn la respectiva gestiòn de acompañamiento para la claridad en la descripciòn y unificaciòn de criterios.
Por lo tanto, se sugiere replantear la descripciòn de la actividad, el indicador y la meta, ya que se evidencia la falta de claridad para determinar el avance real y cumplimiento de lo descrito para el perìodo.
Con relaciòn a la ejecuciòn de recursos se evidencia que se direccionan a la consecuciòn de una herramienta informàtica que consolide e integre los sistemas actuales de informaciòn, por lo que no es consecuente con lo planteado en el POA2016.
De igual forma, se deben revisar y atender los planteamientos de la Contralorìa General de la Repùblica, descritos en el informe de auditorìa vigencia 2015, citados en el numeral 3.1.1.4.1 Línea de las Tecnologías de la Información y las Comunicaciones –TIC’S, asì como desarrollar las acciones que permitan superar los hallazgos 9, 10, 11 y 12.</t>
  </si>
  <si>
    <t>(1) Reuniòn del 9/SPT/16, con el jefe de la Oficina de Informàtica, Ing. Leonardo Càrdenas Chitiva (5 Actividades - 5 Metas - 5 Productos avance).
El Objetivo 2, la estrategia 5 y la acciòn, citados en èste formato, no coinciden con lo registrado en el Plan Indicativo Cuatrienal 2015-2018. Estas 5 actividades estàn relacionadas con el Objetivo 3, Estrategia 1 y la Acciòn de Fortalecer el sistema de monitoreo y de alertas tempranas, indicado en el Plan Institucional referido.
De otra parte, en el Plan Indicativo Cuatrienal 2015-2018 se repiten 2 productos esperados identificados como: Sistema de Gestión de Seguridad de la Información implementado con base en la Estrategia de Gobierno en Línea, con metas del 100 para cada uno. En el POA2016, refieren 2 actividades, la actividad 4 conserva este producto pero la actividad 5 la modifica con el referente sobre el manual GEL. Por lo tanto, se sugiere que la Oficina Asesora de Planeaciòn debe revisar la pertinencia de los ajustes.
Teniendo en cuenta que las actividades y gestiones deben estàr enfocadas a fortalecer la buena disposiciòn de los sistemas de informaciòn del SIA para permitir el uso adecuado por parte de las autoridades ambientales, se deben consolidar esfuerzos con el propòsito de tomar acciones que propendan por optimizar estos mecanismos y superar los impactos generados por los hallazgos 9, 11 y 12 de la Contralorìa General de la Repùblica, con ocasiòn del informe de auditorìa vigencia 2015. Asì mismo, revisar el alcance del hallazgo 10 con relaciòn a la permanente comunicaciòn con dichas instancias para el cumplimiento de los objetivos misionales.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</si>
  <si>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</si>
  <si>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No se han utilizado recursos.</t>
  </si>
  <si>
    <t>Se consolidaron las cifras sobre el estado de avance en la implementación del Inventario Nacional de PCB, con la información de los periodos de balance 2012, 2013, 2014 y 2015.
Se iniciò el informe de PCB para el periodo de balance 2014.
MinAmbiente apoya con un contratista que lidera el tema, sin recursos del IDEAM.</t>
  </si>
  <si>
    <t>Aunque las gestiones se concentran en la valoraciòn y consolidaciòn de informaciòn, se sugiere describir las fases para consolidar el informe o documento a desarrollar.
Ejecuciòn presupuestal de 0% y se adelanta proceso de informe para liberaciòn de recursos.</t>
  </si>
  <si>
    <t>REGISTROS 100% -Supera meta
RECURSOS 0%</t>
  </si>
  <si>
    <t>Se adelantan las actividades conforme a lo proyectado.</t>
  </si>
  <si>
    <t>Se adelanta un contrato y registra una ejecuciòn por $1.550`691.216.</t>
  </si>
  <si>
    <t>Se registran laboratorios y OEC acreditados por encima de la meta establecida.</t>
  </si>
  <si>
    <t>LABORATORIOS 100% -Supera meta
RECURSOS 53%</t>
  </si>
  <si>
    <t>Se adelantan estudios previos, análisis de riesgo, análisis del sector para aprobación del comité de contratación en la evaluación de pruebas de desempeño.
La Oficina Asesora Jurídica revisa lo pertinente.</t>
  </si>
  <si>
    <t>INFORME 57%
RECURSOS 70%</t>
  </si>
  <si>
    <t>(1) Reuniòn con Juan Carlos Lobo, jefe de la Oficina Asesora de Planeaciòn, el 7/SPT/16 (2 Actividades - 2 Metas - 2 Productos).</t>
  </si>
  <si>
    <r>
      <t xml:space="preserve">Construcción Laboratorio Calidad Ambiental - Bogotá. </t>
    </r>
    <r>
      <rPr>
        <sz val="9"/>
        <color rgb="FFFF0000"/>
        <rFont val="Arial"/>
        <family val="2"/>
      </rPr>
      <t>Fase I de la construcción de Laboratorio de Calidad Ambiental, adecuación y mantenimiento de las sedes y oficinas a nivel nacional.</t>
    </r>
  </si>
  <si>
    <r>
      <t xml:space="preserve">Laboratorio construido. </t>
    </r>
    <r>
      <rPr>
        <sz val="9"/>
        <color rgb="FFFF0000"/>
        <rFont val="Arial"/>
        <family val="2"/>
      </rPr>
      <t>Sedes adecuadas</t>
    </r>
  </si>
  <si>
    <r>
      <rPr>
        <u/>
        <sz val="9"/>
        <color theme="1"/>
        <rFont val="Arial"/>
        <family val="2"/>
      </rPr>
      <t>JUN/16</t>
    </r>
    <r>
      <rPr>
        <sz val="9"/>
        <color theme="1"/>
        <rFont val="Arial"/>
        <family val="2"/>
      </rPr>
      <t xml:space="preserve">: Durante los meses de mayo y junio de 2016 no se proyectaron actividades de este tipo.. </t>
    </r>
    <r>
      <rPr>
        <sz val="9"/>
        <color rgb="FFFF0000"/>
        <rFont val="Arial"/>
        <family val="2"/>
      </rPr>
      <t>Avance  50%.</t>
    </r>
  </si>
  <si>
    <r>
      <rPr>
        <u/>
        <sz val="9"/>
        <color theme="1"/>
        <rFont val="Arial"/>
        <family val="2"/>
      </rPr>
      <t>JUN/16</t>
    </r>
    <r>
      <rPr>
        <sz val="9"/>
        <color theme="1"/>
        <rFont val="Arial"/>
        <family val="2"/>
      </rPr>
      <t xml:space="preserve">: Esta actividad se encuentra pendiente por contratar, para lo cual se están adelantando los trámites con la Oficina Jurídica para llevar a cabo dicha contratación. </t>
    </r>
    <r>
      <rPr>
        <sz val="9"/>
        <color rgb="FFFF0000"/>
        <rFont val="Arial"/>
        <family val="2"/>
      </rPr>
      <t>Avance 20%.</t>
    </r>
  </si>
  <si>
    <r>
      <rPr>
        <u/>
        <sz val="9"/>
        <color theme="1"/>
        <rFont val="Arial"/>
        <family val="2"/>
      </rPr>
      <t>JUN/16</t>
    </r>
    <r>
      <rPr>
        <sz val="9"/>
        <color theme="1"/>
        <rFont val="Arial"/>
        <family val="2"/>
      </rPr>
      <t xml:space="preserve">: Esta actividad se adelantó por medio del contrato No. 201 de 2016, el cual opera desde el 16 de junio hasta el 31 de diciembre de 2016. El monitoreo de medios se realiza a partir del 16 de junio por medio de AT-Agencia. Evidencia: Reporte Infoanálisis de medios. </t>
    </r>
    <r>
      <rPr>
        <sz val="9"/>
        <color rgb="FFFF0000"/>
        <rFont val="Arial"/>
        <family val="2"/>
      </rPr>
      <t>Avance 10%.</t>
    </r>
  </si>
  <si>
    <r>
      <rPr>
        <u/>
        <sz val="9"/>
        <color theme="1"/>
        <rFont val="Arial"/>
        <family val="2"/>
      </rPr>
      <t>JUN/16</t>
    </r>
    <r>
      <rPr>
        <sz val="9"/>
        <color theme="1"/>
        <rFont val="Arial"/>
        <family val="2"/>
      </rPr>
      <t xml:space="preserve">: Esta actividad se adelantó por medio del contrato No. 165 de 2016, el cual opera desde el 1 de mayo hasta el 31 de diciembre de 2016. Durante los meses de mayo y junio de 2016 se grabaron, emitieron y publicaron 183 videos diarios del pronóstico del tiempo, los cuales se emitieron tres veces al día. Evidencia: Link canal YouTube IDEAM: Pronóstico diario del tiempo
https://www.youtube.com/watch?v=Or50WyBsrow&amp;index=1&amp;list=PLouP7beVf8Wmu_B-5ZCnE8uQ8vUBjVpZ8. </t>
    </r>
    <r>
      <rPr>
        <sz val="9"/>
        <color rgb="FFFF0000"/>
        <rFont val="Arial"/>
        <family val="2"/>
      </rPr>
      <t>Avance  52%.</t>
    </r>
  </si>
  <si>
    <t>(1) Reuniòn con Diego Contreras, funcionario del Grupo de Servicios Administrativos de la Secretarìa General, el 12/SPT/16 (4 Actividades - 10 Metas - 733 Productos).</t>
  </si>
  <si>
    <r>
      <rPr>
        <u/>
        <sz val="10"/>
        <color theme="1"/>
        <rFont val="Arial"/>
        <family val="2"/>
      </rPr>
      <t>JUN/16</t>
    </r>
    <r>
      <rPr>
        <sz val="10"/>
        <color theme="1"/>
        <rFont val="Arial"/>
        <family val="2"/>
      </rPr>
      <t xml:space="preserve">: Teniendo en cuenta la labor realizada en los meses anteriores, se tomo la decisión de realizar el proceso de convocatoria Pública para la construcción de laboratorio de calidad ambiental en Puente Aranda. A la fecha la parte técnica se encuentra realizando ajuste de ítems y precios, la parte jurídica se encuentra desarrollando los estudios previos del proceso. Respecto a sedes adecuadas, se tienen cotizaciones y esta en proceso la elaboración de los estudios previos. Evidencia: Oficina de Servicios Administrativos. </t>
    </r>
    <r>
      <rPr>
        <sz val="10"/>
        <color rgb="FFFF0000"/>
        <rFont val="Arial"/>
        <family val="2"/>
      </rPr>
      <t xml:space="preserve">Avance 30%.
</t>
    </r>
  </si>
  <si>
    <t>SEDES 0% -Gestión 25%
RECURSOS 4%</t>
  </si>
  <si>
    <t>La asignación inicial de recursos de inversión se redujo en $1´000.000.
La ejecucuión de los recursos están encaminados a la contratación de personal como apoyo a la gestión institucional y presenta una ejecución por $525´296.000 de los recursos de inversión.</t>
  </si>
  <si>
    <t>Apoyo a la Gestión 80%
RECURSOS 80%</t>
  </si>
  <si>
    <t>(1). Reuniòn con Rocio Rodriguez Granados y Carlos Daniel Urrea Hernandez, funcionarios de la Subdirecciòn de Estudios Ambientales, el 7/SPT/16 (11 Actividades - 12 Metas - 12431 Productos).
Revisar la consistencia en el Plan Indicativo Cuatrienal, del "Producto Esperado" Publicaciones periódicas: Informe del estado del ambiente y de los recursos naturales, calidad del aire, RESPEL, asociados, tanto al Objetivo 2, Estrategia 1 y Acción: Uso de instrumentos económicos y la valoración de la biodiversidad con una meta cuatrienal de 12, como con el Objetivo 2, Estrategia 3 y Acción: Manejo integrado de la contaminación, con énfasis en reconversión a tecnologías más limpias con una meta cuatrienal de 4.
En èste POA2016 solo se considera el producto asociado al Objetivo 2, Estrategia 1 y Acción: Uso de instrumentos económicos y la valoración de la biodiversidad con una meta cuatrienal de 12.</t>
  </si>
  <si>
    <r>
      <rPr>
        <u/>
        <sz val="9"/>
        <color theme="1"/>
        <rFont val="Arial"/>
        <family val="2"/>
      </rPr>
      <t>JUN/16</t>
    </r>
    <r>
      <rPr>
        <sz val="9"/>
        <color theme="1"/>
        <rFont val="Arial"/>
        <family val="2"/>
      </rPr>
      <t xml:space="preserve">: Esta actividad se encuentra pendiente por contratar, para lo cual se están adelantando los trámites con la Oficina Jurídica para llevar a cabo dicha contratación. </t>
    </r>
    <r>
      <rPr>
        <sz val="9"/>
        <color rgb="FFFF0000"/>
        <rFont val="Arial"/>
        <family val="2"/>
      </rPr>
      <t xml:space="preserve">Avance 20%.
</t>
    </r>
    <r>
      <rPr>
        <u/>
        <sz val="9"/>
        <color rgb="FFFF0000"/>
        <rFont val="Arial"/>
        <family val="2"/>
      </rPr>
      <t/>
    </r>
  </si>
  <si>
    <t>Se modificò el indicador por el de adquirir equipos para la vigencia 2016.
Se adelanta el procesos de contrataciòn con la Oficina Jurídica.</t>
  </si>
  <si>
    <t>Se emiten los videos diarios del pronóstico del tiempo, los cuales se transmiten 3 veces al día.</t>
  </si>
  <si>
    <t>Del total de recursos ($1.240`615.210), se dispone en 2016 de $600`000.000 y el saldo se reasignó para compra de nuevos equipos para el laboratorio de calidad ambiental por obsolecencia de los actuales.
Se presenta una ejecución por $43`707.733 (Julio/16).
Se solicitará al Ministerio de Hacienda vigencias futuras para la construcción del laboratorio o la fase 2.
El proceso de contrataciòn se encuentra publicado en la pàgina SECOP para adjudicaciòn.
Se dispone de un CDP por valor de $100`000.000 como rango de costo de obras. En los pliegos de condiciones el valor de las obras es de $67`000.000 segùn los estudios de mercado. Dada la diferencia entre CDP y estudios de mercado para el costo de las obras, se puede presentar liberación de recursos.
Se solicitará al Ministerio de Hacienda vigencias futuras para la construcción del laboratorio o la fase 2.
El proceso de contrataciòn se encuentra publicado en la pàgina SECOP para adjudicaciòn.
Se dispone de un CDP por valor de $100`000.000 como rango de costo de obras. En los pliegos de condiciones el valor de las obras es de $67`000.000 segùn los estudios de mercado. Dada la diferencia entre CDP y estudios de mercado para el costo de las obras, se puede presentar liberación de recursos.</t>
  </si>
  <si>
    <t xml:space="preserve">Se presenta la modificacion de la actividad POA2016, fase I: Construcción de Laboratorio de Calidad Ambiental, adecuación y mantenimiento de las sedes y oficinas a nivel nacional". El indicador para 2016 se modifica por sedes adecuadas.
La fase 2 es la de Construcción.
Se redujeron recursos por $2.201`000.000, lo que limita el proyecto.
Para la obra se dispone de estudios previos y están pendientes la parte tècnica y la financiera. Se realizan ajustes de ítems y precios.
No se tienen consideradas etapas previas a la obra, para evidenciar el avance objetivamente.
Se realiza el proceso de convocatoria pública para la construcción de laboratorio de calidad ambiental en Puente Aranda.
Respecto a sedes adecuadas, se tienen cotizaciones y esta en proceso la elaboración de los estudios previos.
</t>
  </si>
  <si>
    <t>Se adelanta por medio del contrato No. 165 de 2016, cuyo valor se incluye en la ejecuciòn global de la actividad ($273`654.356).</t>
  </si>
  <si>
    <t>Pese al proceso de contrataciòn efectuado, se deben revisar los compromisos y confrontarlos con el progreso reportado y realizar los ajustes para el resto de la vigencia.
Realizar la programaciòn de presentaciòn de los informes proyectados.</t>
  </si>
  <si>
    <t>Tanto el indicador como la meta, hace parte del indicador del cuatrienio "Eventos de rendición de cuentas realizados."
Se realizò la contrataciòn respectiva, que opera desde junio, para adelantar el monitoreo de medios. Dada lafecha de inicio, su avance no es significativo.</t>
  </si>
  <si>
    <t>Tanto el indicador como la meta, hace parte del indicador del cuatrienio "Eventos de rendición de cuentas realizados.".
La actividad està pendiente por contratar, para lo cual se están adelantando los trámites con la Oficina Jurídica para llevar a cabo dicha contratación.</t>
  </si>
  <si>
    <t>El indicador planteado inicialmente para 2016 era el de disponer de "Productos pedagógicos y metodológicos (agua, tiempo y clima, cambio climático y ecosistemas) elaborado.", asociado al indicador del cuatrieno "Eventos de rendición de cuentas realizados". Durante èsta vigencia se modificò el indicador por el de "Adquirir Hardware y Software, para divulgación Grupo de Comunicaciones".
Se debe revisar la consistencia del cambio y del cumplimiento de resultados, ya que a la fecha se adelantan gestiones del proceso de contrataciòn sin indicar los equipos por adquirir.
Lo anterior genera confusiòn en la formulaciòn y descripciòn de actividades, metas e indicadores, por lo que se sugiere revisar con la Oficina Asesora de Planeaciòn los ajustes pertinentes.</t>
  </si>
  <si>
    <t>Se adelantó por medio del contrato No. 201 de 2016, cuyo valor se incluye en la ejecuciòn global de la actividad ($273`654.356).</t>
  </si>
  <si>
    <t>La ejecuciòn de recursos està pendiente.</t>
  </si>
  <si>
    <t>EQUIPOS 0% -Gestión 25%
RECURSOS 44%</t>
  </si>
  <si>
    <t xml:space="preserve">Se presenta una ejecución por $273`654.356 (Julio/16) de recursos de inversiòn.
</t>
  </si>
  <si>
    <t xml:space="preserve">Se da cumplimiento a lo programado, sin embargo, se debe revisar el alcance de lo descrito por la Contralorìa General de la Repùblica en el hallazgo 16 del informe de auditorìa vigencia 2015, donde manifiesta que "El indicador no permite medir la gestión directa de la Secretaria General, por cuanto obedece a una labor misional". </t>
  </si>
  <si>
    <r>
      <rPr>
        <u/>
        <sz val="9"/>
        <color theme="1"/>
        <rFont val="Arial"/>
        <family val="2"/>
      </rPr>
      <t>JUN/16</t>
    </r>
    <r>
      <rPr>
        <sz val="9"/>
        <color theme="1"/>
        <rFont val="Arial"/>
        <family val="2"/>
      </rPr>
      <t xml:space="preserve">: Durante el mes de Junio, se realizaron las siguientes capacitaciones articuladas en el PIC así:-Por medio de las Resolución nro. 1166 del 8 de junio de 2016 se autoriza la participación de ocho (8) funcionarios de carrera administrativa, Libre nombramiento y Remoción en el VIII congreso Nacional de Presupuesto publicó , liderado por firma F&amp;C Consultores, con una inversión de $ 10.136.500. Se reitera que presupuestalmente a corte del mes de Junio se han ejecutado el 19,13 % de los recursos asignados, equivalente a $17.213.500.-El 30 de Junio se presentaron los estudios previos ya que se beneficiaran (30) funcionarios para realizar esta capacitación con el Ministerio Público. La inversión será de un $60.000.000.-Se desarrollaron inducciones a (20) funcionarios que ingresaron al IDEAM en este mes. Las capacitaciones que se desarrollaron por gestión de las diferentes dependencias del Ideam fueron: -AO1 Medellín: Thalimedes, descarga de información y parametrización, (6 asistentes).-AO 8 Bucaramanga: Migración de datos ofrecida por la contratista Claudia Marcela Flores, (9 asistentes).-Grupo de Talento Humano: intervención pedagógica teatral en prevención de Riesgos Laborales , (56 asistentes).Pausas activas-control de peso (26 asistentes). Inspección parta levantamiento de matriz de peligros-ARL SURA ,(2 asistentes). Charla Brigada de Emergencias-Primeros auxilios, (17, 30 junio), (12 asistentes). </t>
    </r>
    <r>
      <rPr>
        <sz val="9"/>
        <color rgb="FFFF0000"/>
        <rFont val="Arial"/>
        <family val="2"/>
      </rPr>
      <t xml:space="preserve">Avance 19,13%.
</t>
    </r>
    <r>
      <rPr>
        <u/>
        <sz val="9"/>
        <color rgb="FFFF0000"/>
        <rFont val="Arial"/>
        <family val="2"/>
      </rPr>
      <t>AGT/16</t>
    </r>
    <r>
      <rPr>
        <sz val="9"/>
        <color rgb="FFFF0000"/>
        <rFont val="Arial"/>
        <family val="2"/>
      </rPr>
      <t xml:space="preserve">: </t>
    </r>
    <r>
      <rPr>
        <sz val="9"/>
        <rFont val="Arial"/>
        <family val="2"/>
      </rPr>
      <t>A partir de este bimestre, el indicador de cumplimiento  del PIC 2016, se evalua acorde a las lineas programaticas de capacitación delimitadas en el Plan , por lo anterior se encuentra que en este periodo se ejecutaron cuatro (4) lineas programaticas relacionadas asi:-Hidrologia y metereologia básica AO 4 Neiva: tema:Capacitación Altimetría, (9 asistentes), (18 al 25 de julio).-Ingles:Nivel A1, Sector ambiente, (21 aistentes), (22 al 31 de agosto).-Ofimática AO1 Antioquia: tema:Herramientas Ofimática, (10 asistentes), (26 julio) AO7 Pasto: tema: Optimizacion del trabajo en el computador, (8 aistentes), (14 de Julio). AO10 Ibagué:  tema: Optimizacion del trabajo en el computador, (10 aistentes), (12 de Julio). -Gestión administrativa Talento Humano: Resolución 2388 Seguridad Social, (4 aistentes), (31 agosto).-Induccion. En el mes de julio se realizó a dos (2) funcioanrios y a doce (12) funcionarios ejecutada del 08 al 10 de agosto de 2016, el memorando   nro 20162020009343 evidencia los cronogramas en cada uno de los Procesos de Inducción y Entrenamiento en el Puesto de Trabajo. (14 aistentes) -Seguridad y Salud en el Trabajo AO 4 Neiva: tema:Trabajo Seguro en Alturas, (9 aistentes), (27 julio). asistentes: 85 funcionarios. Se reitera que presupuestalmente a corte del  31 de agosto se han ejecutado el 19,79%  de los  recursos asignados, equivalente $ 17,816,750, relacionando distribuido en  las siguientes lineas programaticas:-Actualización en Manejo de Archivo Seminario Taller Archivo y gestión Documental para la Administración Pública - Res 0637 20-04-de 2016, (3 aistentes), (12-13 mayo), ($2,721,750).-Actualización en gestión financiera pública V Congreso nacional de gestiónfinanciera,Resoluciòn Nro 0376, 15-03-2016 (5 asistentes), (16-18 marzo), ($4,958,500). VIII Congreso nacional de presupuesto público, Res 1166 de 2016,8-06-2016 (8 asistentes); (9-11 junio), ($ 10.136.500). Se informa que a corte 31 de Agosto, de las doce  (12)  lineas programaticas de capacitación del PIC 2016, se han desarrollado  ocho (8) lineas, las cuales corresponden a Competencias Blandas, Hidrología y Meteorología Básica, Inglés, Ofimática, Actualización en Manejo de Archivo, Actualización en gestión financiera pública,  Seguridad y Salud en el Trabajo,induccion.</t>
    </r>
    <r>
      <rPr>
        <sz val="9"/>
        <color rgb="FFFF0000"/>
        <rFont val="Arial"/>
        <family val="2"/>
      </rPr>
      <t xml:space="preserve"> Avance 66%.</t>
    </r>
  </si>
  <si>
    <r>
      <rPr>
        <u/>
        <sz val="9"/>
        <color theme="1"/>
        <rFont val="Arial"/>
        <family val="2"/>
      </rPr>
      <t>JUN/16</t>
    </r>
    <r>
      <rPr>
        <sz val="9"/>
        <color theme="1"/>
        <rFont val="Arial"/>
        <family val="2"/>
      </rPr>
      <t xml:space="preserve">: De las ochenta y cuatro (84) actividades programadas para la vigencia 2016 en el Plan de Bienestar Social; en este periodo se han desarrollado doce (12 de las cuales se relaciona que la actividad del contrato de prestación de servicios médicos para la realización de exámenes médicos ocupacionales de ingreso, periódicos, se han ejecutado $7.549.500. Componente de Bienestar Social: (5) actividades así:-Consultas Psicológicas individuales: por solicitud de los funcionarios.- Actividad Deportiva Torneo: Toreno Ping Póngase desarrollo la programación de los partidos que se inscribieron, además se otorgaron los premios al primer, segundo y tercer puesto del campeonato. (18)equipos participantes. (Ver evidencias-radicado 20162020007993).-Otorgamiento de un día en el cumpleaños de cada funcionario: En este periodo solicitaron (19)
funcionarios.-Día del padre: se entregaron obsequios esferos (79) a la sede central , áreas operativas y aeropuertos (67).(Ver evidencias-radicado 20162020009323).-Día del Servidor público: se desarrollaron (2) capacitaciones de importancia de la actividad física y pausas activas en la jornada mañana y de finanzas personales en la tarde. (18) asistentes.(Ver evidencias-radicado 20162020007983).Total participantes de este componente: (225) funcionarios. Componente de Seguridad y salud en el trabajo: (7) actividades </t>
    </r>
    <r>
      <rPr>
        <sz val="9"/>
        <rFont val="Arial"/>
        <family val="2"/>
      </rPr>
      <t xml:space="preserve">así:-Envio de Correos informativos sobre seguridad y Salud en el trabajo:( 3)-Medición de confort térmico por calor en las àreas administrativas del Laboratorio de Calidad Ambiental en dias soleados-Medición de iluminación de Laboratorio de Calidad Ambiental:informe emitido por ARL Positiva-Evaluación del perfil de humus metálicos, minimo tres puntos-Evento teatral positiva: actividad realizada para el dia del funcionario, se evidencia la participación de (56 funcionarios)-programación y ejecución de los  examenes médicos sede Bogotá, aréas operativas, ingreso  y egreso de personal-Pausas activas sede Bogota con ARL positiva:(26 asistentes).Total participantes de este componente: (85) funcionarios.Total asistentes Plan de Bienestar Social: 310  funcionarios. </t>
    </r>
    <r>
      <rPr>
        <sz val="9"/>
        <color rgb="FFFF0000"/>
        <rFont val="Arial"/>
        <family val="2"/>
      </rPr>
      <t xml:space="preserve">Avance 36%.                            
</t>
    </r>
    <r>
      <rPr>
        <u/>
        <sz val="9"/>
        <color rgb="FFFF0000"/>
        <rFont val="Arial"/>
        <family val="2"/>
      </rPr>
      <t>AGT/16</t>
    </r>
    <r>
      <rPr>
        <sz val="9"/>
        <color rgb="FFFF0000"/>
        <rFont val="Arial"/>
        <family val="2"/>
      </rPr>
      <t xml:space="preserve">: </t>
    </r>
    <r>
      <rPr>
        <sz val="9"/>
        <rFont val="Arial"/>
        <family val="2"/>
      </rPr>
      <t xml:space="preserve">Durante el cuarto bimestre de la vigencia 2016, De las ochenta y cuatro (84) actividades programadas; en este periodo se han ejecutado trece  (14), seis(6)  actividades del componente de Bienestar Social y siete (8) de SSGT. -Consultas psicológicas individuales y grupales: por solicitud de los funcioanrios.-Día del conductor 15 de julio: (4 aistentes) (RADICADO NÚMERO ( 20162020008033).- Acompañamiento en calamidades y fallecimientos: según ocurrencia del evento.-IIIConcurso de fotografía: Busca fortalecer el sentido de pertenencia por el instituto, en el quehacer cotidiano de los funcionarios y contratistas de la familia ideam, la exposición se realizó del 8 al 29 de agosto, (12 consursantes), categorias. sentido de pertenenecia con el instituto y sentido de pertenencia con el medio ambiente, evdiencias (RADICADO NÚMERO 20162020009993).-Otorgamiento de un dia en el cumpleaños de cada funcionario:En este periodo solicitaron  (19) funcionarios.-Creditos educativos condonables CONVENIO ICETEX Se mantuvo el Convenio 2011-0472 mediante el cual algunos funcionarios se benefician con el financiamiento del 100% de sus estudios siempre y cuando cumplan con los requisitos del reglamento operativo que hace parte integral del mismo, se realizó seguimiento al convenio y trámites ante el Icetex para las renovaciones de los créditos educativos, los beneficiarios de dicho convenio son: IGNACIA TAMARA OMAÑA Y CAROLINA ROZO PRIETO. (2 beneficiarios).Componente de Seguridad y salud en el trabajo: (8) actividades asi:-Reunión y capacitación de la brigada de emergencias: (22 julio), organziación brigada de emergencias, (11 asistentes)-Seguimiento a gestión de cursos de Trabajo en Alturas – Áreas Operativas:AO 4 Neiva: tema:Trabajo Seguro en Alturas, (9 aistentes), (27 julio).-Semana de la salud, se desarrollo  del 16 al 19 de agosto, (151 asistentes) durante esta jornada.  (RADICADO NÚMERO  20162020009673).-Jornada de Donación de Sangre-Ejecucion de contrato de   exámenes  médicos.-Capacitaciones CPASST-Pausas activas sedes Bogota-Primera entrega de las matrices de identificaciòn de riesgos y peligros y planes de emergencias de araes operativas y aeropuertos inspeccionados a la fecha. Se reitera que presupuestalmente a la fecha se han comprometido para el proceso de contartación de examenes medicos  $48.179.500, de los cuales se han ejecutado $7.549.500 . </t>
    </r>
    <r>
      <rPr>
        <sz val="9"/>
        <color rgb="FFFF0000"/>
        <rFont val="Arial"/>
        <family val="2"/>
      </rPr>
      <t>Avance 53%.</t>
    </r>
  </si>
  <si>
    <r>
      <rPr>
        <u/>
        <sz val="9"/>
        <color theme="1"/>
        <rFont val="Arial"/>
        <family val="2"/>
      </rPr>
      <t>JUN/16</t>
    </r>
    <r>
      <rPr>
        <sz val="9"/>
        <color theme="1"/>
        <rFont val="Arial"/>
        <family val="2"/>
      </rPr>
      <t xml:space="preserve">: Durante este periodo se realizó la segunda convocatoria de auxilios Educativos para los funcionarios del Ideam, donde se presentaron cuatro (4) funcionarios para renovación auxilio educativo y se encuentra pendiente de la aprobación del Comité de Estímulos e Incentivos.-Por Directrices del IDEAM se amplio el plazo hasta el 30 de Junio de las convocatorias de los premios a la idea innovadora y mejor equipo de trabajo, no se presento ningún funcionario. Es de aclarar que durante este mes no se otorgaron estímulos educativos, pero el Grupo de Talento Humano realizó actividades de gestión del proceso, por lo anterior el indicador que se encuentra articulado en el SGI, no se puede evaluar. </t>
    </r>
    <r>
      <rPr>
        <sz val="9"/>
        <color rgb="FFFF0000"/>
        <rFont val="Arial"/>
        <family val="2"/>
      </rPr>
      <t xml:space="preserve">Avance 33%.
</t>
    </r>
    <r>
      <rPr>
        <u/>
        <sz val="9"/>
        <rFont val="Arial"/>
        <family val="2"/>
      </rPr>
      <t>AGT/16</t>
    </r>
    <r>
      <rPr>
        <sz val="9"/>
        <rFont val="Arial"/>
        <family val="2"/>
      </rPr>
      <t>: Durante el mes de Julio se realizó el Comíté de Estímulos e Incentivos , se aprueban solicitudes para auxilio educativo para tres (3) funcionarios por valor de $4'317.150, valor contemplado en el CDP 72116. (acta nro o2). Se realizó convocatoria única para la recepción de documentos para auxilio educativo para hijos menores de edad.
Se realizó gestión ante la Universidad Nacional Abierta y a Distancia UNAD para suscribir convenio con el IDEAM mediante el cual se otorgue descuento del 15% en cualquiera de los programas que ofrece esta institución. Se realizó reunión con la coordinadora del Grupo de Talento Humano y los representantes de la Univerisdad; se realizó reunión abierta de asesoría e información con los funcionarios. IDEA INNOVADORA: se envío invitación a jurados externos para calificación del trabajo presentado por el funcionario Jorge Luis Ceballos Liévano, denominado "Monitoreo Glaciar Participativo MGP" y a la jefe inmediata.
 EXCELENCIA INDIVIDUAL,: durante  el mes de Agosto se envió la matriz de excelencia individual a los jefes de los funcionarios que cumplen con los requisitos para optar al premio Excelencia Individual.,encontrandose cuarenta y tres(43) funcionarios. Los premios a la excelencia individual, idea innovadora y el reconocimiento a la antigüedad laboral se entregan en el evento de fin de año de reconocimiento a los logros laborales. Se reitera que presupuestalmente a corte del  31 de agosto se han desembolsado auxilios educativos  por    $ 8.246.550, es decir se ha ejecutado el 14,99% de los de los recursos asignados ($55.000.000) .</t>
    </r>
    <r>
      <rPr>
        <sz val="9"/>
        <color rgb="FFFF0000"/>
        <rFont val="Arial"/>
        <family val="2"/>
      </rPr>
      <t xml:space="preserve"> Avance 51%. </t>
    </r>
  </si>
  <si>
    <t>El Plan Institucional de Capacitación (PIC) està aprobado por el Comitè de Estìmulos e Incentivos de marzo de 2016.
El PIC presenta 12 lìneas programàticas.
Se han adelantado 8 lìneas programàticas.</t>
  </si>
  <si>
    <t>El plan presenta 2 componentes:
1. Componente de bienestar social.
2. Componente de sistema de seguridad y salud en el trabajo.
Se han definido 84 actividades, que se ha desarrollado satisfactoriamente durante la vigencia (Componente de bienestar social-27 y Componente de sistema de seguridad y salud en el trabajo-19).
Se van a realizar ajustes presupuestales para la contrataciòn de elementos de protecciòn personal y compra de extintores, para la cobertura del sistema de seguirdad y salud en el trabajo.</t>
  </si>
  <si>
    <t xml:space="preserve">El plan presenta 3 proyectos de estìmulos: Premio a la Excelencia individual,  Premio a la Idea Innovadora, Premio al Mejor Equipo de Trabajo.
El Plan està comtemplado como actividad del Plan de Bienestar.
Adicionalmente se han identificado incentivos en auxilios educativos, para los funcionarios, extensivo a sus hijos. </t>
  </si>
  <si>
    <t>Las 3 actividades del POA2016 estàn enmarcadas en el Plan Estratégico de Recursos Humanos, elaborado en 2015.
Con el propòsito de incentivar a los funcionarios y fortalecer la participaciòn, se debe continuar con los mecanismos de motivaciòn.</t>
  </si>
  <si>
    <t xml:space="preserve">En agosto se presentan ajustes para recursos de inversiòn, el cual asciende a $4.434`585.570, con un presupuesto ejecutado por $444`705.869 (Julio/16).
Se han adelantado los siguientes contratos:
-Contrato 312 de 2015,
-Contrato 036 de 2015,
-Contrato 056 de 2016,
-Contrato 014 de 2016,
-Contrato 013 de 2016,
-Contrato 019 de 2016,
-Contrato 153 de 2016,
-Contrato 241 de 2016,
-Contrato 200 de 2016,
-Contrato 185 de 2016,
-Contrato 154 de 2016,
-Contrato 228 de 2016.
Caba aclarar que se ha contado con recursos de funcionamiento para atender estos contratos.
Actualmente se adelantan gestiones para la contrataciòn de bienes y servicios que presentan las siguientes etapas:
-Pendiente por legalizar, el contrato de servicios de soporte y mantenimiento del software de pronóstico hidrológico Delft - FEWS.
-Renovación de licencias y/o suscripciones de software del IDEAM (Radicada en Oficina Jurídica).
-Estudios previos de servicios de Datacenter alterno para DRP.
-Estudios previos de servicios de levantamiento de información, definición, capacitación y ejecución de actividades relacionadas con la transición del protocolo IPv4 a IPv6 al interior del IDEAM de acuerdo con el Manual GEL.
-En proceso de adjudicación, la contrataciòn a precios unitarios fijos sin reajuste, el mantenimiento y adecuación de la infraestructura de red de datos y voz, incluyendo el suministro de elementos y mano de obra que sean necesarios para las sedes del IDEAM.
-Suministro, instalación, configuración, integración y puesta en marcha de hardware y software para renovar la plataforma tecnológica del IDEAM incluyendo la prestación de los servicios conexos (Radicado en Oficina Juridica).
-En proceso de adjudicación, la instalación de hasta 16 cámaras de observación a nivel nacional, a todo costo, incluyendo el suministro de elementos y mano de obra que sean necesarios para la adecuación de las mismas y su habilitación para transmisión a través de Internet.
-Adquisición de equipos de red para el fortalecimiento de la infraestructura existente en el Data Center y garantizar alta disponibilidad en los servicios (Radicado en Oficina Jurídica).
-Estudios previos, de renovación de extensión de garantías y soporte para servidores, sistemas de almacenamiento y respaldo de la información.
</t>
  </si>
  <si>
    <t>DISPONIBILIDAD -Acorde con lo formulado
RECURSOS 10%- Inversiòn</t>
  </si>
  <si>
    <t>Si bièn el avance (81,5%) se registra como apreciaciòn objetiva de la dependencia, està relacionado con las gestiones que desarrollan diariamente.
Se presenta igualmente falta de claridad en la determinaciòn o identificaciòn de la actividad, formulaciòn de indicadores y metas.
Con relaciòn a la ejecuciòn de recursos no se presentan recursos de inversiòn.</t>
  </si>
  <si>
    <t xml:space="preserve">Estructuración de estudios previos para adquisición y/o construcción e implementación del sistema de información requerido para la gestión de datos hidrológicos y meteorológicos.
No presenta ejecuciòn. </t>
  </si>
  <si>
    <t>MANTENIMIENTO APLICATIVOS 43% -Gestiòn àrea
RECURSOS 0%</t>
  </si>
  <si>
    <t>No se puede referenciar el cumplimiento de la meta con lo dispuesto en el POA2016, dada la falta de claridad de la misma. De otra parte, se pudiera estimar el 20% siempre y cuando se establecieran o definieran previamente las etapas o fases que se contemplan en la implementaciòn del Sistema.
Sin asignaciòn de recursos de inversiòn.</t>
  </si>
  <si>
    <t>Las actividades relacionadas estan direccionadas a un proceso contractual para la arquitectura de TI.</t>
  </si>
  <si>
    <t>IMPLEMENTACION MANUAL GEL -ND
RECURSOS 0%</t>
  </si>
  <si>
    <t>Sin apropiaciòn de recursos de inversiòn.</t>
  </si>
  <si>
    <t>Sin apropiaciòn de recursos de inversiòn</t>
  </si>
  <si>
    <t>REPORTES 67%
RECURSOS -Sin apropiaciòn de recursos de inversiòn</t>
  </si>
  <si>
    <t>DOCUMENTO 50%
RECURSOS- Sin apropiaciòn de recursos de inversiòn</t>
  </si>
  <si>
    <t>BOLETINES 50%
RECURSOS -Sin apropiaciòn de recursos de inversiòn</t>
  </si>
  <si>
    <t>DOCUMENTOS ND% -Gestiòn 50%
RECURSOS -Sin apropiaciòn de recursos de inversiòn</t>
  </si>
  <si>
    <t xml:space="preserve">Sin apropiaciòn de recursos de inversiòn.
Revisar asignaciòn de recursos en el informe de seguimiento reportado por el àrea en el mes de junio/16. </t>
  </si>
  <si>
    <t>Sin apropiaciòn de recursos de inversiòn.
Los recursos son manejados por el Fondo directamente, Solo acuden al IDEAM para avalar tecnicamente los avances de pago.</t>
  </si>
  <si>
    <t>ESTACIONES -Sin meta 2016
RECURSOS -Sin apropiaciòn de recursos de inversiòn</t>
  </si>
  <si>
    <t>ESTACIONES 40%
RECURSOS -Sin apropiaciòn de recursos de inversiòn</t>
  </si>
  <si>
    <t>DOCUMENTO ND - GESTION 20%
RECURSOS -Sin apropiaciòn de recursos de inversiòn</t>
  </si>
  <si>
    <t xml:space="preserve">Sin apropiaciòn de recursos de inversiòn.
Soporte y mantenimiento del software Suite Visión Empresarial para el control y seguimiento en materia de planes de mejoramiento, indicadores y auditoría. (Contrato 253 de 2016). </t>
  </si>
  <si>
    <t>APLICATIVOS -GESTION acorde programado
RECURSOS -Sin apropiaciòn de recursos de inversiòn</t>
  </si>
  <si>
    <t>Sin apropiaciòn de recursos de inversiòn.
Se adelantò el contrato 184 de 2016.
Actualmente se adelantan gestiones para la contrataciòn de bienes y servicios que presentan las siguientes etapas:
-Estudios previos para  la adquisición e Instalación de Certificados Digitales.
-En proceso de adjudicación la adquisición de firmas digitales para usuarios de SIIF Nación.</t>
  </si>
  <si>
    <t>IMPLEMENTACION SGSI -ND
RECURSOS -Sin apropiaciòn de recursos de inversiòn</t>
  </si>
  <si>
    <t>AVANCES
PIC 70%
PLAN BIENESTAR 55%
INCENTIVOS -Gestiòn acorde con lo estipulado
RECURSOS -Sin apropiaciòn de recursos de inversiòn</t>
  </si>
  <si>
    <r>
      <rPr>
        <u/>
        <sz val="9"/>
        <color theme="1"/>
        <rFont val="Arial"/>
        <family val="2"/>
      </rPr>
      <t>JUN/16</t>
    </r>
    <r>
      <rPr>
        <sz val="9"/>
        <color theme="1"/>
        <rFont val="Arial"/>
        <family val="2"/>
      </rPr>
      <t xml:space="preserve">: Se realizo la actualización de 81 documentos del SGI, se proponen ajustes al mapa de procesos, y se
termina el desarrollo del modelo de planeación IDEAM.
Véase: http://sgi.ideam.gov.co/planeacion-institucional/-
/document_library_display/b1l4LYggmqrg/view/621061?_110_INSTANCE_b1l4LYggmqrg_redirect=http%3A%2F%2Fsgi.ideam.gov.co%2Fplaneacioninstitucional%3Fp_p_id%3D110_INSTANCE_b1l4LYggmqrg%26p_p_lifecycle%3D0%26p_p_state%3Dnormal%26p_p_mode%3Dview%26p_p_col_id%3Dcolumn-1%26p_p_col_count%3D1. </t>
    </r>
    <r>
      <rPr>
        <sz val="9"/>
        <color rgb="FFFF0000"/>
        <rFont val="Arial"/>
        <family val="2"/>
      </rPr>
      <t>Avance 51%.</t>
    </r>
  </si>
  <si>
    <t xml:space="preserve">Se presentan documentos de regionalización del inventario y los protocolos para el inventario en temas como ganadería, energía y quemas de biomasa, en el boletín del mes de mayo.
</t>
  </si>
  <si>
    <t xml:space="preserve">Se dispone de:
-Guía metodológica/protocolo para regionalizar el inventario nacional de emisiones GEI en las categorías de "Tierras y emisiones de GEI por quema de biomasa".
-Guía metodológica para regionalizar el inventario Nacional deemisiones de GEI en las categorías "energía".
En 2015 se elaboraron 6 documentos con informaciòn sobre cambio climàtico. </t>
  </si>
  <si>
    <t>Se replanteó el equema de desarrollo del documento que será elaborado por la Oficina Asesora de Planeación y la Subdirección de Hidrologìa.
En 2016 se avanzó en el diagnóstico de los equipos de laboratorio existentes, con priorización de adquisición.
La Oficina Asesora de Planeación remitió versión preliminar de la estructura del plan (Identificaciòn de componentes -infraestructura fìsica, inventario y confrontaciòn de equipos requeridos, procesos de intercalibraciòn) y la Subdirección de Hidrología aportò algunos insumos técnicos.
No se tiene previsto contratación para èste año.
Se trata de un proceso de acreditaciòn con CALA (Canadà), para lo cual se tienen que realizar varias etapas dentro del documento final.</t>
  </si>
  <si>
    <t>Los recursos se redireccionaràn en septiembre de 2016 para otra actividad que apunte al proceso de acreditaciòn.</t>
  </si>
  <si>
    <t>Se presentaron ajustes al documento. Se entregò la primera versiòn del documento y se encuentra en revisiòn interna.
Avance 52%.</t>
  </si>
  <si>
    <t>Los documentos refieren 2 componentes:
a) Fisicoquimico que està al 100%.
b) Bioindicaciòn que està pendiente y se adelanta al interior del IDEAM.
Avance del 50%.</t>
  </si>
  <si>
    <t>Pese a que en el Plan Indicativo Cuatrienal figura a cargo de la Subdirecciòn de Ecosistemas e Informaciòn Ambiental, este producto està en cabeza de la Subdirecciòn de Estudios Ambientales.
El tema del SIA es liderado y coordinado por la Subdirecciòn de Ecosistemas e Informaciòn Ambiental.
De otra parte, la actividad general se subdividiò en tareas al interior del àrea, todo lo cual hace parte del informe del estado del ambiente como insumo para el mismo.
Se definieron los estudios previos para la contratación del profesional de apoyo para la consolidación del IEARNN y se avanzó en la consolidación y revisión de documentos que alimentarían el informe.</t>
  </si>
  <si>
    <t>A julio 2016 no se registraba ejecuciòn de recursos, sin embargo se ha dispuesto la elaboraciòn de contratos.</t>
  </si>
  <si>
    <t>DOCUMENTO 50%
RECURSOS 0%</t>
  </si>
  <si>
    <t>Previamente se concertan los temas para cada boletìn y definir los contenidos o subtemas.
Se dispone del boletín de calidad de aire "Contaminación atmosférica" en la pagina web del instituto, que corresponde al primer semestre.
Se adelantan gestiones con referencia al segundo informe.</t>
  </si>
  <si>
    <t>Dado el hallazgo 16 de la Contralorìa General de la Repùblica en el informe de auditorìa vigencia 2015, se sugiere revisar su reformulaciòn, acatando los procedimientos dispuestos.
En informe de la CGR de la vigencia 2015 (hallazgo 16-folio 84) se indica: "En algunos casos el indicador se formula sobre acciones que depende de terceros y cuyo resultado no depende de la gestión del IDEAM, por lo que POA, como instrumento funcional de la planeación estratégica en estos casos no apunta a lograr metas planificadas, como se evidencia en las metas (Subdirección de Estudios ambientales metas 2 y 3-Informe CGR-Tabla 28-folio 82)".
La meta POA2016, puede presentar la idea de acreditar 200 laboratorios en èsta vigencia, sin embargo al revisar el Plan Indicativo Cuatrienal se advierte que se trata de alcanzar al 2016, la acreditaciòn de 200 laboratorios, del total de 250 laboratorios que se esperan tener al finalizar el cuatrienio.
El segundo indicador debe estar asociado a la acreditaciòn de laboratorios por lo tanto se debe revisar su alcance.
Ejecuciòn presupuestal 53%.</t>
  </si>
  <si>
    <t>Dado el hallazgo 14 de la Contralorìa General de la Repùblica en el informe de auditorìa vigencia 2015, se sugiere revisar en conjunto con la Oficina Asesora de Planeaciòn, el alcance de lo planteado por èsta instancia.
Al disponer de los 10 documentos identificados se debe aclarar su aplicabilidad. 
Con relaciòn a los 2 documentos de la meta de la actividad 11, se debe aclarar si las guìas reportadas son consideradas como insumos o de lo contrario se podrìan reportar como los 2 productos esperados. Esta ùltima situaciòn, no es consistente con el avance del 60% reportado por el àrea.
Se debe conservar la consistencia de los datos consignados en todos los documentos que hacen parte del proceso de informaciòn del POA.</t>
  </si>
  <si>
    <t>La Actividad 1 consolida los 2 productos formulados en el campo PLAN INDICATIVO CUATRIENAL, aunque se registra individualmente un indicador y una meta por producto. Se sugiere revisar la descripciòn de la actividad y formulaciòn de indicadores, con el propòsito de aclarar su identificaciòn o el alcance de cada uno de ellos.
Los avances (70% y 60%) se registran como apreciaciones objetivas de la dependencia y estàn relacionados con las mùltiples tareas y gestiones que adelantan, pero dificilmente se pueden asociar efectivamente a los resultados.
Para el primer indicador, se pueden consideran 2 productos elaborados de la meta establecida, lo que genera un avance menor al descrito, sin considerar el cumplimiento de las respectivas publicaciones. Dentro de las diversas actividades desarrolladas por el àrea, se reporta la elaboraciòn de boletines, sobre los cuales se debe determinar si son considerados como productos adicionales o son insumos para los mapas; situaciòn que denota debilidad en el proceso de planeaciòn y en la descripciòn de los componentes o elementos que hacen parte de los documentos finales.
En el segundo indicador, se dificulta analizar la presentaciòn de un avance objetivo durante la vigencia, ya que en primera instancia se debe establecer la base sobre la cual se realiza el 40% del cuatrienio y conocer con exactitud su alcance, para determinar luego el cumplimiento del 5% para el 2016. Este aspecto amerita atenciòn especial, dados los hallazgos de la Contralorìa General de la Repùblica (17 y 18 -IFN). Se sugiere revisar con la Oficina Asesora de Planeaciòn los componentes del proyecto y de ser pertinente replantear su formulaciòn, en su descripciòn o alcance. 
Con relaciòn a la ejecuciòn de recursos se evidencia el previo conocimiento en su aplicaciòn, pero se deben revisar los 6 contratos "SIN INICIAR", para determinar su efectivo cumplimiento o posible liberaciòn. Al considerar los contratos en marcha, se presenta un 66% de ejecuciòn.</t>
  </si>
  <si>
    <t>En primera instancia, se debe revisar y ajustar el Objetivo de esta Estrategia 2, ya que corresponde al Objetivo 2, esto para no generar inconsistencias en la presentaciòn del formato POA2016 e interpretar que podrìa ser del Objetivo 3.
En la secciòn POA 2016 - PROYECTO DE INVERSIÓN la "Meta Actividad" (4) no es consistente con lo consignado en la secciòn PLAN INDICATIVO CUATRIENAL 2015-2018 -IDEAM, cuya meta para 2016 es 1. Lo anterior se debe a la falta de claridad en la formulaciòn de la "Actividad POA 2015" (2016), lo que genera confusiòn al confrontarlos con los 4 productos del cuatrienio.
Aunque el avance (60%) se registra alineado con la gestiòn que se ha desarrollado para lograr la "Meta Actividad", se debe revisar y registrar conforme a lo establecido en el "Indicador Actividad".
Se puede considerar que los "productos temàticos generados" son elementos del "Programa de seguimiento, monitoreo y evaluación de los ecosistemas continentales, y sus servicios ecosistémicos".
Al aclarar que se han definido 2 productos para 2016, que corresponden, uno a la versiòn 2 del Cubo de Datos y otro al mapa de ecosistemas, que a su vez, se despilegan en 2 subproductos, se entiende que se trata de los 4 productos del POA2016. Lo anterior conlleva a revisar el proceso de planeaciòn, que de manera previa se adelanta para la definiciòn de actividades de la vigencia, con el fìn de disponer de una identificaciòn consistente de metas e indicadores. 
Con relaciòn a la ejecuciòn de recursos se debe definir la ejecuciòn de contratos por $183`692.154 que estàn previstos o de lo contrario, informar con oportunidad a la instancia pertinente para la dispocisiòn de dichos recursos. Al considerar los contratos iniciados, se presenta un 78% de ejecuciòn.</t>
  </si>
  <si>
    <t>Aunque el grupo de automatización cuenta con los equipos para las cinco estaciones sinópticas, se puede complementar con la presentaciòn de un programa para gestionar los permisos de instalación para las estaciones pendientes.</t>
  </si>
  <si>
    <t xml:space="preserve">Dados los hallazgos 15 y 16 de la Contralorìa General de la Repùblica en el informe de auditorìa vigencia 2015, se sugiere revisar su ejecución, con el objeto de reorientar de manera consistente el proyecto para permitir evaluar su progreso.
Revisar la consistencia de la meta con la posibilidad de adecuar 2 sedes en 2016. Se indica que las adicionales al laboratorio son el edificio principal y Duitama. Para ello, se tienen identificadas las reparaciones locativas y adecuaciones, sobre las cuales no se han iniciado obras. Dados los costos de mercado del pliego de condiciones ($67`000.000), se prevee liberación de recursos.
Ejecuciòn presupuestal 4%.
</t>
  </si>
  <si>
    <t>El indicador planteado inicialmente para 2016 era el de disponer de un "Plan de mercadeo estratégico elaborado y implementado", asociado al indicador del cuatrieno "Plan Institucional de Posicionamiento". Durante èsta vigencia se modificò el indicador por el de "Adquirir equipos multimedia para difusión contenidos digitales comunicación interna y externa".
Se debe revisar la consistencia del cambio y del cumplimiento de resultados, ya que a la fecha se adelantan gestiones para el proceso de contrataciòn sin indicar los equipos por adquirir.
Se debe contrastar ademàs, con lo indicado por la Contralorìa General de la Repùblica en el hallazgo 16 del informe de auditorìa vigencia 2015, donde evidenciò debilidad en el alcance de lo descrito para el 2015 de la actividad formulada, para lo cual el IDEAM manifestò que se habìa elaborado el "Plan de Posicionamiento y estrategias de comunicación del IDEAM", que contiene 2 documentos (Manual de uso de imagen corporativa del IDEAM y Manual para el manejo de la cultura del pronóstico).
Todo lo anterior genera confusiòn en la formulaciòn y descripciòn de actividades, metas e indicadores, por lo que se sugiere revisar con la Oficina Asesora de Planeaciòn los ajustes pertinentes.</t>
  </si>
  <si>
    <t>Se ha cumplido con lo descrito.
Para el segundo evento se deben revisar los resultados anteriores con el fin de ajustar la pròxima presentaciòn.</t>
  </si>
  <si>
    <t>Tanto el indicador como la meta, hace parte del indicador del cuatrienio "Eventos de rendición de cuentas realizados." Se realizò un primer evento de rendiciòn de cuentas el 22 de abril de 2016.</t>
  </si>
  <si>
    <t>Sin apropiaciòn de recursos de inversiòn, sin embargo se dispone de recursos de funcionamiento.</t>
  </si>
  <si>
    <t xml:space="preserve">Sin apropiaciòn de recursos de inversiòn, sin embargo se dispone de recursos de funcionamiento para su cumplimiento.
</t>
  </si>
  <si>
    <t>Sin apropiaciòn de recursos de inversiòn, sin embargo se dispone de recursos de funcionamiento para su cumplimiento.</t>
  </si>
  <si>
    <t>La actividad 4 del POA2016, consolida 2 metas del Plan Indicativo Cuatrienal.
El indicador propuesto para la actividad, no define las variables que puedan medir objetivamente su avance. No hay claridad en la descripciòn de actividades, indicador y meta del POA2016.
La unidad de medida de la meta (1) en el POA2016, no determina con claridad el alcance o resultado de la actividad. Se sugiere modificar la actividad, indicador y meta, ademàs disponer, en lo posible, de una previa identificación de áreas con requerimiento de personal de apoyo, asì como determinar que la meta sea el porcentaje sobre la ejecución de recursos.
Esta gestiòn debe acatar lo indicado por la Contralorìa General de la Repùblica en el informe de auditorìa vigencia 2015.</t>
  </si>
  <si>
    <t>El cronograma de integraciòn del SGI contempla:
1. Integrar polìticas del Sistema de Gestiòn.
2. Integrar objetivos del Sistema de Gestiòn.
3. Evaluaciòn inicial (Diagnòstico SGC, SGA, SGSST).
4. Proponer modificaciones a la Resoluciòn 3313/12.
5. Plantear indicadores del Sistema de Gestiòn.
6. Actualizar mapa de procesos.
7. Actualizar documentos para integraciòn.
Se han desarrollado 4 actividades.
En proceso la formulaciòn de indicadores.</t>
  </si>
  <si>
    <t>Se suscribió el contrato 222 de 2016, con ejecución presupuestal de $36´423.488.</t>
  </si>
  <si>
    <t>DOCUMENTO ND
RECURSOS 35%</t>
  </si>
  <si>
    <t>Refieren los puntos donde se intalaràn las estaciones Isotòpicas (Quibdó, Bahia Solano, Macarena, Cúcuta y Arauca).</t>
  </si>
  <si>
    <t>Se replanteó el alcance del documento, lo que genera los ajustes pertinentes, que deben ser coordinados por la Oficina Asesora de Planeación, con el propósito de surtir el procedimiento establecido.
Se dispone de una versión preliminar elaborada por la Oficina Asesora de Planeación sobre la estructura del plan, de ahí el avance mínimo de la actividad.
Se sugiere determinar acciones que describan las etapas por implementar para consolidar el documento final.
No se presenta ejecuciòn presupuestal, por lo tanto se redireccionarán los recursos.</t>
  </si>
  <si>
    <r>
      <t xml:space="preserve">Esta actividad (5) se puede considerar como adicional a la consignada en el Plan Indicativo Cuatrienal que refiere un producto como meta para 2016, sin embargo, se debe contar con un documento de consolidaciòn de los resultados del monitoreo. Se debe revisar el </t>
    </r>
    <r>
      <rPr>
        <sz val="10"/>
        <color rgb="FFFF0000"/>
        <rFont val="Arial"/>
        <family val="2"/>
      </rPr>
      <t>alcance del objeto del contrato y determinar</t>
    </r>
    <r>
      <rPr>
        <sz val="10"/>
        <color theme="1"/>
        <rFont val="Arial"/>
        <family val="2"/>
      </rPr>
      <t xml:space="preserve"> si las actividades contemplan una posible caracterizaciòn de los puntos de las estaciones o se enfocan a lograr la instalaciòn de las estaciones.
El avance del 20% se considera como gestiòn adelantada en la elaboraciòn del documento, sin embargo no se puede determinar con claridad si se trata del cumplimiento de algunos componentes del mismo.
La ejecuciòn de recursos es de $36`423.488.
Se sugiere tomar como referente el esquema presentado en los informes del Convenio Interadministrativo No. 113 de 2016, con la Universidad Nacional para determinar posibles etapas y facilitar su seguimiento (2).</t>
    </r>
  </si>
  <si>
    <t>(1). Reuniòn con Gabriel Saldarriaga y Fabio Bernal, funcionarios de la Subdirecciòn de Hidrologìa, el 6/SPT/16 (11 Actividades - 15 Metas - 30 Productos).
Dcto. 2482/12.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</si>
  <si>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 xml:space="preserve">(2) En relaciòn al convenio suscrito con la Universidad Nacional y el IDEAM, se sugiere revisar el esquema presentado del proyecto, el cual consta de cinco informes como resultados:
1. Un primer informe que contiene:
 El plan detallado de actividades.
 El marco metodológico para el cálculo de las curvas IDF.
 El resumen de la selección de tormentas a ser analizadas.
2. Un segundo informe (Entregado Informe Julio/2016-Producto 2) que contendrá:
 La recopilación, organización, procesamiento y análisis de información disponible en el IDEAM y proveniente de otras fuentes secundarias.
 Los avances en el desarrollo del aplicativo en R, o en software similar, para el cálculo de curvas IDF, de acuerdo con los lineamientos del Convenio.
 La descripción del estado y avances en el procesamiento de pluviogramas.
Y un ùltimo producto:
5. Un quinto y último informe que contendrá:
 La descripción de los resultados del análisis de curvas IDF sintéticas o generalizadas.
 El soporte de realización del evento de socialización de resultados del proyecto.
Esta metodologìa puede servir de referente en la planeaciòn y descripciòn de este tipo de actividades.
</t>
  </si>
  <si>
    <r>
      <t xml:space="preserve">Contrato 106/2016, y se registra una ejecuciòn por valor de $48`298.667. </t>
    </r>
    <r>
      <rPr>
        <sz val="10"/>
        <color rgb="FFFF0000"/>
        <rFont val="Arial"/>
        <family val="2"/>
      </rPr>
      <t>Verificar aplicaciòn de recursos de funcionamiento.</t>
    </r>
  </si>
  <si>
    <t>La actividad 7 consolida los productos de los 3 indicadores del Plan Indicativo Cuatrienal del año 2016, con una meta de 4 documentos.
Se sugiere mayor claridad en la identificaciòn de los documentos y descripciòn de componentes de los mismos.
Aunque se advierte gestiòn en la elaboraciòn de los documentos, solo se evidencia claridad en los 2 documentos relacionados con la segunda actividad que se integrò y cuyo resultado es el "Documento con análisis fisicoquímicos y bioindicación de calidad del agua del IDEAM", del cual se dispone el de fisicoquímicos. El de bioindicación se adelanta al interior del IDEAM.
Ejecuciòn presupuestal de $48`298.667, que corresponde al 97%, sobre recursos de inversiòn.</t>
  </si>
  <si>
    <t>DOCUMENTOS:
Meta 1: Hay versiòn preliminar
Meta 2: 50%
Meta 3: DOCUMENTO ND -en Validaciòn datos 2015
RECURSOS 97%</t>
  </si>
  <si>
    <r>
      <t xml:space="preserve">Se dispone de informaciòn topoatimètrica de la regiòn de la Mojana que cubre varias poblaciones, por lo tanto, se tiene caracterizada la regiòn sobre la cual se realizarìan los 2 mapas.
Se cuenta con el mapa de la poblaciòn de Montelìbano.
El Fondo de Adaptaciòn Nacional apoyò al Instituto con informaciòn topobatimètrica, lo que generò optimizaciòn en el uso de la informaciòn y se evalùa la generaciòn de otros mapas. </t>
    </r>
    <r>
      <rPr>
        <sz val="10"/>
        <color rgb="FFFF0000"/>
        <rFont val="Arial"/>
        <family val="2"/>
      </rPr>
      <t>Determinar ubicaciòn ruta http...</t>
    </r>
  </si>
  <si>
    <t>Se dispone de elementos de modelación sobre alertas e inundaciones, como insumo.</t>
  </si>
  <si>
    <r>
      <t xml:space="preserve">El Plan Indicativo Cuatrienal presenta 4 productos y se consolidan en una sola actividad (8), sin embargo se conservan las metas e indicadores individualmente (Las metas 1 y 4 son metas del Plan Nacional de Desarrollo 2014-2018 (PND).
Se debe revisar y confrontar el nùmero de productos cuatrienales para los indicadores 1 y 4 de èsta actividad, con lo dispuesto en el PND 2014-2018, ya que en èste ùltimo se establecen 10 mapas por creciente sùbita y 6 mapas de amenaza por inundaciòn, lo que podrìa generar ajustes para las metas del POA2016 o para las vigencias siguientes, màxime cuando estàn relacionadas con metas del PND 2014-2018 (Folio 696 PND).
En la meta 1 se dispone del mapa de la poblaciòn de Montelìbano </t>
    </r>
    <r>
      <rPr>
        <sz val="10"/>
        <color rgb="FFFF0000"/>
        <rFont val="Arial"/>
        <family val="2"/>
      </rPr>
      <t xml:space="preserve">(evidencia).
</t>
    </r>
    <r>
      <rPr>
        <sz val="10"/>
        <rFont val="Arial"/>
        <family val="2"/>
      </rPr>
      <t>En la meta 2 se han identificado componentes como insumos sin disponer de una versiòn preliminar del documento.</t>
    </r>
    <r>
      <rPr>
        <sz val="10"/>
        <color rgb="FFFF0000"/>
        <rFont val="Arial"/>
        <family val="2"/>
      </rPr>
      <t xml:space="preserve">
</t>
    </r>
    <r>
      <rPr>
        <sz val="10"/>
        <rFont val="Arial"/>
        <family val="2"/>
      </rPr>
      <t>En la meta 3 se dispone del mapa de la poblaciòn de Montelìbano</t>
    </r>
    <r>
      <rPr>
        <sz val="10"/>
        <color rgb="FFFF0000"/>
        <rFont val="Arial"/>
        <family val="2"/>
      </rPr>
      <t xml:space="preserve"> (evidencia).
</t>
    </r>
    <r>
      <rPr>
        <sz val="10"/>
        <rFont val="Arial"/>
        <family val="2"/>
      </rPr>
      <t>En la meta 4 se dispone del mapa de la poblaciòn de Montelìbano</t>
    </r>
    <r>
      <rPr>
        <sz val="10"/>
        <color rgb="FFFF0000"/>
        <rFont val="Arial"/>
        <family val="2"/>
      </rPr>
      <t xml:space="preserve"> (evidencia).
</t>
    </r>
    <r>
      <rPr>
        <sz val="10"/>
        <color theme="1"/>
        <rFont val="Arial"/>
        <family val="2"/>
      </rPr>
      <t xml:space="preserve">
Revisar en el Plan Estratègico Consolidado el Objetivo 3 -Estrategia 1, que no coincide con lo planteado en èste POA2016.
Dada la socializaciòn de estos documentos, no se està cumpliendo con la consistencia de la informaciòn de caràcter pùblico.
La ejecuciòn presupuestal es del 83%.
</t>
    </r>
  </si>
  <si>
    <t>MAPAS, DOCUMENTOS Y MODELOS:
Meta 1: MAPAS50%
Meta 2: ND
Meta 3: 50%
Meta 4: 133%
RECURSOS 83%</t>
  </si>
  <si>
    <t>Se dispone de la evaluación de 373.918 gráficas diarias de precipitación para 55 estaciones, reportadas por la U. Los Libertadores.
De las 59 estaciones con datos atípicos, se corrigieron valores de temperatura y precipitación de 47 estaciones.
Se indica que este aspecto es complementario con la actividad 6 relacionado con el documento de la sequia.</t>
  </si>
  <si>
    <t>Se adelanta el contrato 109/2016 por $ 37`785.600.</t>
  </si>
  <si>
    <t>INFORME 100%
RECURSOS -Sin apropiaciòn</t>
  </si>
  <si>
    <t>El informe se compone de 7 fases de integraciòn.
Se han cumplido las fases de:
1. Integrar polìticas del Sistema de Gestiòn.
2. Integrar objetivos del Sistema de Gestiòn.
3. Evaluaciòn inicial (Diagnòstico SGC, SGA, SGSST).
4. Proponer modificaciones a la Resoluciòn 3313/12).
Dado lo anterior se desarrolla el cronograma conforme a lo estipulado.</t>
  </si>
  <si>
    <r>
      <rPr>
        <u/>
        <sz val="9"/>
        <color theme="1"/>
        <rFont val="Arial"/>
        <family val="2"/>
      </rPr>
      <t>JUN/16</t>
    </r>
    <r>
      <rPr>
        <sz val="9"/>
        <color theme="1"/>
        <rFont val="Arial"/>
        <family val="2"/>
      </rPr>
      <t xml:space="preserve">: Se culmina la actividad con la publicación, serealizan ajustes al PAAC (versión 2), que serán publicados en el mes de agosto, una vez sean aprobados por las instancias respectivas, de acuerdo a las recomendaciones de la OCI y del DAFP. Se realizan los documentos especificados en el PAAC. https://goo.gl/9rAqnK. </t>
    </r>
    <r>
      <rPr>
        <sz val="9"/>
        <color rgb="FFFF0000"/>
        <rFont val="Arial"/>
        <family val="2"/>
      </rPr>
      <t>Avance 100%.</t>
    </r>
  </si>
  <si>
    <r>
      <rPr>
        <u/>
        <sz val="10"/>
        <rFont val="Arial"/>
        <family val="2"/>
      </rPr>
      <t>JUN/16</t>
    </r>
    <r>
      <rPr>
        <sz val="10"/>
        <rFont val="Arial"/>
        <family val="2"/>
      </rPr>
      <t>:</t>
    </r>
    <r>
      <rPr>
        <sz val="10"/>
        <color rgb="FFFF0000"/>
        <rFont val="Arial"/>
        <family val="2"/>
      </rPr>
      <t xml:space="preserve"> </t>
    </r>
    <r>
      <rPr>
        <sz val="10"/>
        <rFont val="Arial"/>
        <family val="2"/>
      </rPr>
      <t>Se recibió la propuesta del IIAP sobre los contenidos del informe, así mismo, se desarrollo una propuesta de respuesta al mismo, se definieron los Estudios Previos para la contratación del profesional de apoyo para la consolidación del IEARNN y se avanzó en la consolidación y revisión de documentos que alimentarían el informe. Soportes: X:\EstudiosAmbientales\ORDENAMIENTO AMBIENTAL DEL
TERRITORIO\2016\Planeación\Indicadores POA bimensuales\3. Soportes Mayo-Junio\1. PublicacionesPeriódicas (informes)\1. Informe EARN.</t>
    </r>
    <r>
      <rPr>
        <sz val="10"/>
        <color rgb="FFFF0000"/>
        <rFont val="Arial"/>
        <family val="2"/>
      </rPr>
      <t xml:space="preserve">Avance 45%.
AGT/16: </t>
    </r>
    <r>
      <rPr>
        <sz val="10"/>
        <rFont val="Arial"/>
        <family val="2"/>
      </rPr>
      <t>Se ha hecho la recopilación de información de los diferentes indicadores que se van a integrar al informe. De igual manera se ha comenzado la recepción de información de los institutos que conforman el SINA, tales como el IAvH y el Invemar. Se han llevado a cabo las reuniones para hacer la revisión del avance del informe con la subdirectoria y el equipo encargado de la elaboración del informe. Avance 55%.</t>
    </r>
  </si>
  <si>
    <r>
      <t xml:space="preserve">Se adelanta el contrato </t>
    </r>
    <r>
      <rPr>
        <sz val="10"/>
        <color rgb="FFFF0000"/>
        <rFont val="Arial"/>
        <family val="2"/>
      </rPr>
      <t xml:space="preserve">X </t>
    </r>
    <r>
      <rPr>
        <sz val="10"/>
        <rFont val="Arial"/>
        <family val="2"/>
      </rPr>
      <t>y registra una ejecuciòn por $34`406.400.</t>
    </r>
  </si>
  <si>
    <r>
      <rPr>
        <u/>
        <sz val="10"/>
        <rFont val="Arial"/>
        <family val="2"/>
      </rPr>
      <t>JUN/16</t>
    </r>
    <r>
      <rPr>
        <sz val="10"/>
        <rFont val="Arial"/>
        <family val="2"/>
      </rPr>
      <t xml:space="preserve">: La Subdirección ha documentado la segunda fase con el envío al DANE de los documentos elaborados en el marco del Plan de Mejoramiento. Así mismo, ha participado en las reuniones de seguimiento a los planes de mejoramiento organizados por la Subdirección de Ecosistemas, Grupo SIAC, y ha completado los formatos de seguimiento al plan de mejoramiento. De otra parte, se formularon los Estudios Previos para la contratación de la mejora estadística para el proceso de calidad del aire. Soportes:X:\EstudiosAmbientales\ORDENAMIENTO AMBIENTAL DEL TERRITORIO\2016\Planeación\Indicadores POA bimensuales\3. Soportes Mayo-Junio. </t>
    </r>
    <r>
      <rPr>
        <sz val="10"/>
        <color rgb="FFFF0000"/>
        <rFont val="Arial"/>
        <family val="2"/>
      </rPr>
      <t xml:space="preserve">Avance 20%.
AGT/16: </t>
    </r>
    <r>
      <rPr>
        <sz val="10"/>
        <rFont val="Arial"/>
        <family val="2"/>
      </rPr>
      <t>Se ha hecho la contratación de un profesional para el desarrollo del plan de mejoramiento de las operaciones estadísticas de monitoreo y seguimiento de la calidad del aire, en este sentido se elaboró el CALENDARIO PARA LA DIFUSIÓN ANUAL DEL INFORME DEL ESTADO DE LA CALIDAD DEL AIRE EN COLOMBIA de forma coordinada con los profesionales del grupo Sisaire, De acuerdo al plan de mejoramiento establecido entre el IDEAM y DANE, para el hallazgo 3. PE_LD se instauran dos actividades, entre las que se encuentra “Establecer métodos de control para dar cumplimiento al calendario de difusión” y como producto el anexo al documento metodológico sobre el "Diseño de Métodos  y  Mecanismos para el Control de Calidad". Una vez revisados los lineamientos del DANE y la documentación con que contaba la operación estadística, se decidió elaborar un documento adicional denominado “Plan de Difusión de los Productos del Procesamiento Estadístico del Sisare”, que reemplaza al anexo del documento metodológico sobre Diseño de Métodos  y  Mecanismos para el Control de Calidad" y permite dar cumplimiento a la primera actividad a realizar para el levantamiento del hallazgo.</t>
    </r>
    <r>
      <rPr>
        <sz val="10"/>
        <color rgb="FFFF0000"/>
        <rFont val="Arial"/>
        <family val="2"/>
      </rPr>
      <t xml:space="preserve"> Avance 40%.</t>
    </r>
  </si>
  <si>
    <r>
      <t xml:space="preserve">Se adelanta el contrato </t>
    </r>
    <r>
      <rPr>
        <sz val="10"/>
        <color rgb="FFFF0000"/>
        <rFont val="Arial"/>
        <family val="2"/>
      </rPr>
      <t>x</t>
    </r>
    <r>
      <rPr>
        <sz val="10"/>
        <rFont val="Arial"/>
        <family val="2"/>
      </rPr>
      <t>.</t>
    </r>
  </si>
  <si>
    <t xml:space="preserve">Se ha documentado la segunda fase en el marco del Plan de Mejoramiento.
Se ha participado en las reuniones de seguimiento a los planes de mejoramiento organizados por la Subdirección de Ecosistemas, Grupo SIAC y ha completado los formatos de seguimiento al plan de mejoramiento.
Se indica que se han identificado e implementado 6 de las 12 actividades planteadas por el àrea.
</t>
  </si>
  <si>
    <r>
      <t xml:space="preserve">La Subdirección ha realizado las gestiones correspondientes a la implementaciòn de las actividades formuladas, de las cuales se han implementado 6 de las 12 planteadas por el àrea. </t>
    </r>
    <r>
      <rPr>
        <sz val="10"/>
        <color rgb="FFFF0000"/>
        <rFont val="Arial"/>
        <family val="2"/>
      </rPr>
      <t>Identificar las 12 actividades y las 6</t>
    </r>
    <r>
      <rPr>
        <sz val="10"/>
        <rFont val="Arial"/>
        <family val="2"/>
      </rPr>
      <t xml:space="preserve">
La ejecuciòn presupuestal es de </t>
    </r>
    <r>
      <rPr>
        <sz val="10"/>
        <color rgb="FFFF0000"/>
        <rFont val="Arial"/>
        <family val="2"/>
      </rPr>
      <t>x</t>
    </r>
    <r>
      <rPr>
        <sz val="10"/>
        <rFont val="Arial"/>
        <family val="2"/>
      </rPr>
      <t>.</t>
    </r>
  </si>
  <si>
    <t>ACCIONES 50%
RECURSOS x%</t>
  </si>
  <si>
    <r>
      <rPr>
        <u/>
        <sz val="10"/>
        <rFont val="Arial"/>
        <family val="2"/>
      </rPr>
      <t>JUN/16</t>
    </r>
    <r>
      <rPr>
        <sz val="10"/>
        <rFont val="Arial"/>
        <family val="2"/>
      </rPr>
      <t xml:space="preserve">: La Subdirección consolidó las cifras sobre el estado de avance en la implementación del Inventario Nacional de PCB a 21 de junio de 2016. En este se muestra la información correspondiente a los periodos de balance 2012, 2013, 2014 y 2015, que a la fecha los usuarios han realizado el cierre del formato en el Inventario Nacional de PCB. Se dió inicio al informe de PCB para el periodo de balance 2014. </t>
    </r>
    <r>
      <rPr>
        <sz val="10"/>
        <color rgb="FFFF0000"/>
        <rFont val="Arial"/>
        <family val="2"/>
      </rPr>
      <t xml:space="preserve">Avance 30%.
AGT/16: </t>
    </r>
    <r>
      <rPr>
        <sz val="10"/>
        <rFont val="Arial"/>
        <family val="2"/>
      </rPr>
      <t>Se hizo la descarga de las sábanas de información de los meses de Julio y Agosto las cuales son el insumo para la elaboración del informe. Cabe resaltar que la información enviada por las autoridades puede ser trnasmitida hasta el dia 31 de Julio.</t>
    </r>
    <r>
      <rPr>
        <sz val="10"/>
        <color rgb="FFFF0000"/>
        <rFont val="Arial"/>
        <family val="2"/>
      </rPr>
      <t xml:space="preserve"> Avance 30%.</t>
    </r>
  </si>
  <si>
    <t>DOCUMENTOS ND -Avance de gestiòn
RECURSOS 0%</t>
  </si>
  <si>
    <t>DOCUMENTOS ND -Avance de gestiòn
RECURSOS 60%</t>
  </si>
  <si>
    <t>DOCUMENTOS ND -Avance de gestiòn
RECURSOS 88%</t>
  </si>
  <si>
    <r>
      <rPr>
        <u/>
        <sz val="10"/>
        <rFont val="Arial"/>
        <family val="2"/>
      </rPr>
      <t>JUN/16</t>
    </r>
    <r>
      <rPr>
        <sz val="10"/>
        <rFont val="Arial"/>
        <family val="2"/>
      </rPr>
      <t xml:space="preserve">: La última versión de la base de datos de SISAIRE fue entregada en abril por la Oficina de Informática del IDEAM. En dicho mes fue procesada nuevamente mediante la herramienta R para generar las versiones más recientes de gráficas y tablas que permitieron continuar con su depuración y análisis. Se recibieron las siguientes bases de datos adicionales: Área Metropolitana del Valle de Aburrá (AMVA), Corporación Autónoma Regional para la Defensa de la Meseta de Bucaramanga, (CDMB) Secretaría Distrital de Ambiente de Bogotá (SDA). Para AMVA se logró gestionar información del incidente de calidad del aire presentado este año para ser incluido en el informe.Soportes: X:\EstudiosAmbientales\ORDENAMIENTO AMBIENTAL DEL. </t>
    </r>
    <r>
      <rPr>
        <sz val="10"/>
        <color rgb="FFFF0000"/>
        <rFont val="Arial"/>
        <family val="2"/>
      </rPr>
      <t xml:space="preserve">Avance 45%.
AGT/16: </t>
    </r>
    <r>
      <rPr>
        <sz val="10"/>
        <rFont val="Arial"/>
        <family val="2"/>
      </rPr>
      <t>A partir de los resultados obtenidos del cruce de datos de concentraciones de contaminantes atmosféricos con variables meteorológicas, el 19 de julio de 2016 se llevó a cabo, con el apoyo de la Ingeniera Ana María Hernández, una reunión de socialización de resultados con el Subdirector de Meteorología, Franklyn Ruiz y los profesionales Henry Benavides y Luis Barreto, pertenecientes a la misma dependencia. La propuesta de presentación para la respectiva socialización fue enviada a la Ingeniera Ana María Hernández el 19 de julio de 2016. Con base en la consulta entregada por la Oficina de Informática del IDEAM en el mes de julio, se realizó un nuevo procesamiento de la información mediante la herramienta de programación R con el objetivo de identificar novedades en la base de datos de SISAIRE. Los cambios corresponden principalmente a los resultados de la gestión llevada a cabo con las autoridades ambientales en meses pasados en cuanto a la revisión de posibles inconsistencias en relación con los datos de calidad del aire de 2015 y con los datos meteorológicos de 2011 a 2015. De igual manera se continuo con la gestión en las autoridades ambientales para la información de datos de los sistemas de calidad del aire.</t>
    </r>
    <r>
      <rPr>
        <sz val="10"/>
        <color rgb="FFFF0000"/>
        <rFont val="Arial"/>
        <family val="2"/>
      </rPr>
      <t xml:space="preserve"> Avance 70%.</t>
    </r>
  </si>
  <si>
    <t>Se adelanta la identificaciòn de subactividades para el desarrollo del documento.
La Oficina de Informática procesò mediante la herramienta R la informaciòn para generar versiones más recientes de gráficas y tablas que permitieron continuar con su depuración y análisis. Se recibieron las bases de datos adicionales de: Área Metropolitana del Valle de Aburrá (AMVA), Corporación Autónoma Regional para la Defensa de la Meseta de Bucaramanga, (CDMB) Secretaría Distrital de Ambiente de Bogotá (SDA).</t>
  </si>
  <si>
    <r>
      <t xml:space="preserve">Se adelanta el contrato </t>
    </r>
    <r>
      <rPr>
        <sz val="10"/>
        <color rgb="FFFF0000"/>
        <rFont val="Arial"/>
        <family val="2"/>
      </rPr>
      <t>x</t>
    </r>
    <r>
      <rPr>
        <sz val="10"/>
        <rFont val="Arial"/>
        <family val="2"/>
      </rPr>
      <t xml:space="preserve"> y registra una ejecuciòn por $64`151.504.</t>
    </r>
  </si>
  <si>
    <t>Aunque las gestiones se concentran en la valoraciòn y consolidaciòn de informaciòn, no se dispone de la identificaciòn plena de los componentes y etapas del documento.
Ejecuciòn presupuestal de 88%</t>
  </si>
  <si>
    <r>
      <rPr>
        <u/>
        <sz val="10"/>
        <rFont val="Arial"/>
        <family val="2"/>
      </rPr>
      <t>JUN/16</t>
    </r>
    <r>
      <rPr>
        <sz val="10"/>
        <rFont val="Arial"/>
        <family val="2"/>
      </rPr>
      <t xml:space="preserve">: El día 31 de Mayo de 2016, el Ministerio de Ambiente desde la Dirección de Asuntos Sectorial y Urbanos hizo envío de los comentarios a la primera versión del Informe de RESPEL. Para el mes de Mayo y Junio se recopilaron dichos comentarios, se analizaron y se envío una nueva versión ajustada para revisión final. De acuerdo con el porcentaje de transmisión de los registros a 30 de junio de 2016 del periodo de balance 2015, se considera pertinente avanzar con la elaboración del informe 2013 a 2015. Soportes: X:\Estudios Ambientales\ORDENAMIENTO AMBIENTAL DELTERRITORIO\2016\Planeación\Indicadores POAbimensuales\3. Soportes Mayo-Junio. </t>
    </r>
    <r>
      <rPr>
        <sz val="10"/>
        <color rgb="FFFF0000"/>
        <rFont val="Arial"/>
        <family val="2"/>
      </rPr>
      <t xml:space="preserve">Avance 55%.
AGT/16: </t>
    </r>
    <r>
      <rPr>
        <sz val="10"/>
        <rFont val="Arial"/>
        <family val="2"/>
      </rPr>
      <t>Teniendo en cuenta que la información oficial con la cual se elaborará el Informe Nacional Generación y Manejo de Residuos o Desechos Peligrosos en Colombia año 2015 sólo se puede bajar de la plataforma del IDEAM hasta el 9 de septiembre del 2016, se realizaron los siguientes avances a corte 31 de agosto:• Introducción (Se presenta un borrador el cual será alimentado y revisado permanentemente, con la información que se obtenga dentro del proceso de construcción del documento).• Antecedentes (Se elaboró grafica con la información encontrada en la página www. basel.int, sobre la generación de residuos peligrosos a nivel mundial).• CAPITULO 3: Como avance del capítulo 3 se presenta la siguiente información: 1. Plantilla para elaborar los gráficos de generación de residuos peligrosos por jurisdicción de Autoridad Ambiental año 2015). 2. Plantillas para procesamiento de datos por autoridad ambiental.</t>
    </r>
    <r>
      <rPr>
        <sz val="10"/>
        <color rgb="FFFF0000"/>
        <rFont val="Arial"/>
        <family val="2"/>
      </rPr>
      <t xml:space="preserve"> Avance 65%.
</t>
    </r>
  </si>
  <si>
    <t>Se dispone de una primera versiòn del informe RESPEL del 2013 al 2015. Al presentar inconvenientes en la informaciòn disponible a partir de septiembre 2016, se realizaron ajustes a varios capìtulos del informe.</t>
  </si>
  <si>
    <t>La Contralorìa General de la Repùblica (CGR) evidenciò debilidad en el alcance de esta actividad y de su producto, en el hallazgo 16 del informe de auditorìa vigencia 2015. 
Se requiere claridad en cuanto al aporte de los documentos de la actividad, para desarrollar los 3 "Documentos de investigación publicados", que son los productos del Plan Indicativo Cuatrienal de la meta 2016, ya que no se tienen identificados.
Con relaciòn al documento se tiene como NO DISPONIBLE (ND).
Se debe ajustar con apoyo de la Oficina Asesora de Planeaciòn, el Plan Indicativo Cuatrienal, para no generar confusiòn en la presentaciòn de los documentos.
Ejecuciòn presupuestal de 60%.</t>
  </si>
  <si>
    <t>La versiòn inicial del informe RESPEL considera los años 2013 al 2015, sin embargo no se determinan acciones sobre el informe de 2016.
Dada la complementariedad del documento con la gran actividad del cuatrienio y con el objeto de coadyuvar en las acciones para subsanar las observaciones de la CGR, se sugiere fortalecer dicha actividad por medio del proceso de contrataciòn que se preve y lograr la revisiòn total de los componentes del informe.
No hay ejecuciòn presupuestal a junio/16.</t>
  </si>
  <si>
    <r>
      <rPr>
        <u/>
        <sz val="10"/>
        <rFont val="Arial"/>
        <family val="2"/>
      </rPr>
      <t>JUN/16</t>
    </r>
    <r>
      <rPr>
        <sz val="10"/>
        <rFont val="Arial"/>
        <family val="2"/>
      </rPr>
      <t xml:space="preserve">: Continúan las reuniones con la Comisión de Ordenamiento Territorial para la definición del Estatuto de uso del suelo en Colombia, en donde se definen las preguntas y alcance de la misma. Soportes: X:\EstudiosAmbientales\ORDENAMIENTO AMBIENTAL DEL
TERRITORIO\2016\Planeación\Indicadores POA bimensuales\3. Soportes Mayo-Junio. </t>
    </r>
    <r>
      <rPr>
        <sz val="10"/>
        <color rgb="FFFF0000"/>
        <rFont val="Arial"/>
        <family val="2"/>
      </rPr>
      <t xml:space="preserve">Avance 15%.
AGT/16: </t>
    </r>
    <r>
      <rPr>
        <sz val="10"/>
        <rFont val="Arial"/>
        <family val="2"/>
      </rPr>
      <t>No se han presentado avances dentro de la actividad, se sigue asistiendo a las reuniones del COT y se ha apoyado la creación del estatuto de uso adecuado del territorio. En este mismo sentido se comenzó la elaboración de un documento con conceptos sobre ordenamiento ambiental del territorio y la competencia del IDEAM en temas de ordenamiento con otras entidades que requieran servicios.</t>
    </r>
    <r>
      <rPr>
        <sz val="10"/>
        <color rgb="FFFF0000"/>
        <rFont val="Arial"/>
        <family val="2"/>
      </rPr>
      <t xml:space="preserve"> Avance 20%.</t>
    </r>
  </si>
  <si>
    <t>DOCUMENTOS ND
RECURSOS 0%</t>
  </si>
  <si>
    <t>Aunque se han adelantado gestiones con instancias pertinentes y se dispone de la identificaciòn de varias subactividades, se contempla la posibilidad de desistir del proyecto, dado el poco avance registrado.</t>
  </si>
  <si>
    <t>Dadas las condiciones del proyecto y ante la posible reformulaciòn del mismo, se recomienda coordinar con la Oficina Asesora de Planeaciòn y agotar los procedimientos establecidos. 
No hay ejecuciòn de recursos.
Posible liberaciòn.</t>
  </si>
  <si>
    <r>
      <rPr>
        <u/>
        <sz val="10"/>
        <rFont val="Arial"/>
        <family val="2"/>
      </rPr>
      <t>JUN/16</t>
    </r>
    <r>
      <rPr>
        <sz val="10"/>
        <rFont val="Arial"/>
        <family val="2"/>
      </rPr>
      <t xml:space="preserve">: La transmisión a 30 de junio de 2016 es de 12.565 registros (2.046 del RUA Manufacturero, 110 del inventario PCB y 10.409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 Soportes: X:\Estudios Ambientales\ORDENAMIENTO AMBIENTAL DEL. </t>
    </r>
    <r>
      <rPr>
        <sz val="10"/>
        <color rgb="FFFF0000"/>
        <rFont val="Arial"/>
        <family val="2"/>
      </rPr>
      <t xml:space="preserve">Avance 47%.
AGT/16: </t>
    </r>
    <r>
      <rPr>
        <sz val="10"/>
        <rFont val="Arial"/>
        <family val="2"/>
      </rPr>
      <t>La transmisión a 31 de Agosto de 2016 es de 13579 registros ( 2323 del RUA Manufacturero, 264 del inventario PCB  y  10.992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t>
    </r>
    <r>
      <rPr>
        <sz val="10"/>
        <color rgb="FFFF0000"/>
        <rFont val="Arial"/>
        <family val="2"/>
      </rPr>
      <t xml:space="preserve"> Avance 100%.</t>
    </r>
  </si>
  <si>
    <t>Esta actividad se asocia con la actividad 4 de la Subdirecciòn de Ecosistemas e Informaciòn Ambiental (Fortalecer SIAC), por tanto los recursos se direccionan al contrato para la elaboraciòn del pliego de condiciones.
El àrea adelantò los estudios previos de este proceso.
Consiste en recibir informaciòn de la autoridad ambiental, que sirve de insumo para generar los informes o documentos pertinentes.
La meta se plantea como promedio sobre lo recibido en los ùltimos años sin conocer a cabalidad si este nùmero se va a cumplir.
Se dispone de los estudios previos para continuar con el proceso de concurso de mèritos.
A la fecha se supera la meta propuesta de 12.000 registros alcanzando los 13.579 registros en estado transmitido por las autoridades ambientales, producto de la gestiòn adelantada ante el Ministerio de Ambiente y Desarrollo Sostenible, para la mejora en la oportunidad del reporte de la información.</t>
  </si>
  <si>
    <t>Del total de los recursos $771`498.590, se registran $752`076.723 como programados mediante contratos, de los cuales solo hay 2 en ejecuciòn ($102`178.133).
De otra parte los recursos de la actividad 7 de la Subdirecciòn de Estudios Ambientales se direccionan para fortalecer este proyecto.</t>
  </si>
  <si>
    <t>Los recursos se destinan para fortalecer el SIAC.
A la fecha no hay ejecuciòn de recursos.</t>
  </si>
  <si>
    <t>Si bien se evidencia la superaciòn de la meta, se debe tener en cuenta el hallazgo 16 de la Contralorìa General de la Repùblica en el informe de auditorìa vigencia 2015, por lo que se sugiere revisar su reformulaciòn, acatando los procedimientos dispuestos.
Ejecuciòn presupuestal 0%.</t>
  </si>
  <si>
    <r>
      <rPr>
        <u/>
        <sz val="10"/>
        <rFont val="Arial"/>
        <family val="2"/>
      </rPr>
      <t>JUN/16</t>
    </r>
    <r>
      <rPr>
        <sz val="10"/>
        <rFont val="Arial"/>
        <family val="2"/>
      </rPr>
      <t xml:space="preserve">: Se hace la primera publicación del boletín de calidad de aire "Contaminación atmosférica" en la pagina web del instituto
Soportes: X:\Estudios Ambientales\ORDENAMIENTO AMBIENTAL DEL TERRITORIO\2016\Planeación\Indicadores POAbimensuales\3. Soportes Mayo-Junio. </t>
    </r>
    <r>
      <rPr>
        <sz val="10"/>
        <color rgb="FFFF0000"/>
        <rFont val="Arial"/>
        <family val="2"/>
      </rPr>
      <t xml:space="preserve">Avance 51%.
AGT/16: </t>
    </r>
    <r>
      <rPr>
        <sz val="10"/>
        <rFont val="Arial"/>
        <family val="2"/>
      </rPr>
      <t>Se continua con el análisis de los datos enviados por las autoridades para la elaboración del siguiente documento con el boletín de calidad del Aire.</t>
    </r>
    <r>
      <rPr>
        <sz val="10"/>
        <color rgb="FFFF0000"/>
        <rFont val="Arial"/>
        <family val="2"/>
      </rPr>
      <t xml:space="preserve"> Avance 56%.</t>
    </r>
  </si>
  <si>
    <r>
      <rPr>
        <u/>
        <sz val="10"/>
        <rFont val="Arial"/>
        <family val="2"/>
      </rPr>
      <t>JUN/16</t>
    </r>
    <r>
      <rPr>
        <sz val="10"/>
        <rFont val="Arial"/>
        <family val="2"/>
      </rPr>
      <t>: Se tienen a la fecha 190 laboratorios acreditados y 30 OEC autorizados
Soportes: X:\Estudios Ambientales\ORDENAMIENTO AMBIENTAL DEL
TERRITORIO\2016\Planeación\Indicadores POA bimensuales\3. Soportes Mayo-Junio.</t>
    </r>
    <r>
      <rPr>
        <sz val="10"/>
        <color rgb="FFFF0000"/>
        <rFont val="Arial"/>
        <family val="2"/>
      </rPr>
      <t xml:space="preserve">Avance 100%.
AGT/16: </t>
    </r>
    <r>
      <rPr>
        <sz val="10"/>
        <rFont val="Arial"/>
        <family val="2"/>
      </rPr>
      <t>Se tienen a la fecha 192 laboratorios acreditados y 30 OEC autorizados
Soportes: X:\Estudios Ambientales\ORDENAMIENTO AMBIENTAL DEL TERRITORIO\2016\Planeación\Indicadores POA bimensuales\3. Soportes Mayo-Junio.</t>
    </r>
    <r>
      <rPr>
        <sz val="10"/>
        <color rgb="FFFF0000"/>
        <rFont val="Arial"/>
        <family val="2"/>
      </rPr>
      <t xml:space="preserve"> Avance 100%.</t>
    </r>
  </si>
  <si>
    <r>
      <rPr>
        <u/>
        <sz val="10"/>
        <rFont val="Arial"/>
        <family val="2"/>
      </rPr>
      <t>JUN/16</t>
    </r>
    <r>
      <rPr>
        <sz val="10"/>
        <rFont val="Arial"/>
        <family val="2"/>
      </rPr>
      <t xml:space="preserve">: Se tiene lista la carpeta con estudios previos, análisis de riesgo, análisis del Sector y se espera aprobación por parte del comité de contratación para comenzar la contratación de la Calificación de la Evaluación de Pruebas de Desempeño. Los documentos soporte para la etapa pre contractual están en revisión de la oficina jurídica, previa su aprobación en Comité de Contratación. Soportes: X:\Estudios Ambientales\ORDENAMIENTO AMBIENTALDELTERRITORIO\2016\Planeación\Indicadores POA bimensuales\3. Soportes Mayo-Junio. </t>
    </r>
    <r>
      <rPr>
        <sz val="10"/>
        <color rgb="FFFF0000"/>
        <rFont val="Arial"/>
        <family val="2"/>
      </rPr>
      <t xml:space="preserve">Avance 45%.
AGT/16: </t>
    </r>
    <r>
      <rPr>
        <sz val="10"/>
        <rFont val="Arial"/>
        <family val="2"/>
      </rPr>
      <t>Se ha hecho la adjudicación del proponente para la calificación de las pruebas y fue adjudicado un contrato por  $78822000. Los proponentes han recibido la informción por parte del IDEAM y se espera retroalimentación por parte del proponente para aclarar dudas en la generación de los informes.</t>
    </r>
    <r>
      <rPr>
        <sz val="10"/>
        <color rgb="FFFF0000"/>
        <rFont val="Arial"/>
        <family val="2"/>
      </rPr>
      <t xml:space="preserve"> Avance 65%.</t>
    </r>
  </si>
  <si>
    <r>
      <rPr>
        <u/>
        <sz val="10"/>
        <rFont val="Arial"/>
        <family val="2"/>
      </rPr>
      <t>JUN/16</t>
    </r>
    <r>
      <rPr>
        <sz val="10"/>
        <rFont val="Arial"/>
        <family val="2"/>
      </rPr>
      <t xml:space="preserve">: El contenido del boletín del mes de Mayo primer paso para adaptarse, en este documento se presentan apartes sobre los documentos de regionalización del inventario y losprotocolos para el inventario en temas como ganadería, Energía y quemas de biomasa. Soportes: X:\Estudios Ambientales\ORDENAMIENTO AMBIENTAL DELTERRITORIO\2016\Planeación\Indicadores POA bimensuales\3. Soportes Mayo-Junio. </t>
    </r>
    <r>
      <rPr>
        <sz val="10"/>
        <color rgb="FFFF0000"/>
        <rFont val="Arial"/>
        <family val="2"/>
      </rPr>
      <t xml:space="preserve">Avance 40%.
AGT/16: </t>
    </r>
    <r>
      <rPr>
        <sz val="10"/>
        <rFont val="Arial"/>
        <family val="2"/>
      </rPr>
      <t>Aparte de los boletines mensuales emitidos por parte del Grupo de Tercera Comunicación Nacional  Julio y Agosto (14 y  15)  se encuentran en proceso de diagramación y edición los documentos de análisis cienciométrico, el documento ABC de cambio climático igualmente se encuentra en proceso de diagramación.</t>
    </r>
    <r>
      <rPr>
        <sz val="10"/>
        <color rgb="FFFF0000"/>
        <rFont val="Arial"/>
        <family val="2"/>
      </rPr>
      <t xml:space="preserve"> Avance 65%.</t>
    </r>
  </si>
  <si>
    <r>
      <rPr>
        <u/>
        <sz val="10"/>
        <rFont val="Arial"/>
        <family val="2"/>
      </rPr>
      <t>JUN/16</t>
    </r>
    <r>
      <rPr>
        <sz val="10"/>
        <rFont val="Arial"/>
        <family val="2"/>
      </rPr>
      <t xml:space="preserve">: El grupo de tercera comunicación hace entrega de los documentos:- Guía metodológica/Protocolo para regionalizar el inventario de emisiones de GEI en las categorías objeto del contrato, que sea representativa para la regionalización de los inventarios nacionales posteriores.-Guía metodológica/protocolo para regionalizar el inventario nacional de emisiones GEI en las categorías de "Tierras y emisiones de GEI por quema de biomasa".- Guía metodológica para regionalizar el inventario Nacional de emisiones de GEI en las categorías "energía". Soportes: X:\Estudios Ambientales\ORDENAMIENTO AMBIENTAL DEL TERRITORIO\2016\Planeación\Indicadores POA bimensuales\3. Soportes Mayo-Junio. </t>
    </r>
    <r>
      <rPr>
        <sz val="10"/>
        <color rgb="FFFF0000"/>
        <rFont val="Arial"/>
        <family val="2"/>
      </rPr>
      <t xml:space="preserve">Avance 50%.
AGT/16: </t>
    </r>
    <r>
      <rPr>
        <sz val="10"/>
        <rFont val="Arial"/>
        <family val="2"/>
      </rPr>
      <t>El documento final del inventario de gases de efecto invernadero se encuentra consolidando calculos, de igual manera se tienen los documentos de los consultores para los protocolos, de esta manera se espera que se comience el trabajo de diagramación y edición para tener el documento final la primera semana del mes de Noviembre.</t>
    </r>
    <r>
      <rPr>
        <sz val="10"/>
        <color rgb="FFFF0000"/>
        <rFont val="Arial"/>
        <family val="2"/>
      </rPr>
      <t xml:space="preserve"> Avance ? 50% ò 10%.</t>
    </r>
  </si>
  <si>
    <t>Se dispone de balances hídricos, los índices de déficit y se calcularon las fechas óptimas de siembra de acuerdo con el período de crecimiento.
Lo anterior como insumos para elaborar un estudio.</t>
  </si>
  <si>
    <t>El alcance del estudio es considerar el mayor número de variables establecidas por instancias internacionales.
Se ha programado que la nota técnica (informe o documento final) se socializará en el 2018.
Se cuenta con la información de las bases de datos.
Se preve la presentación de una reorientación al 1/OCT/16.
Se indica que se pueden preparar las fuentes de datos para ejecutar en varias fases (3).</t>
  </si>
  <si>
    <t>A finales de 2015 se solicitó el cambio de metas para el cuatrienio y se ajustó a 2 modelos, sin considerar meta para el 2016, sin embargo en ésta vigencia se dispone la implementación del modelo del año 2015.
El avance se manifiesta con la publicación en la web (modelos.ideam.gov.co bart.ideam.gov.co/wrfideam).
De otra parte, los modelos permanecen operativos todos los días y publicados.</t>
  </si>
  <si>
    <t>De forma permanente se cumple con la información de meteorología aeronaútica con cada uno de los 27 aeropuertos a cargo (http://bart.ideam.gov.co/metares/).</t>
  </si>
  <si>
    <t>Los recursos apropiados para esta actividad se asocian con los recursos de la actividad 4, con el propósito de adelantar un contrato por cerca de $413`000.000, que se espera firmar y ejecutar desde el mes de septiembre de 2016.</t>
  </si>
  <si>
    <t xml:space="preserve">Para la vigencia 2016 se consideró la necesidad de incluir el tema de recarga de acuíferos en el ENA previsto para el 2018. Por ser un tema nuevo, se requiere el inicio de actividades previas y se determinó que se debía realizar desde el 2016.
Se identificaron referentes que se consolidaron en un informe previo como borrador (Actualmente no se puede disponer del documento).
En el contrato se considerarán etapas del informe previo para desarrollar en la vigencia 2016, sin embargo no se pueden soportar mecanismos de seguimiento periódico de la gestión, en la consolidación del trabajo final.
</t>
  </si>
  <si>
    <t>Al aclarar que ésta actividad 4 se asocia con la actividad 1 de éste POA2016, se puede entender que se suman esfuerzos para lograr objetivos consolidados, sin embargo, la descripciòn genera confusión en la presentaciòn y alcance de lo descrito.
Se considera que en el mes de septiembre se firme el contrato para adelantar èsta actividad, por lo tanto hasta la fecha no hay ejecuciòn de recursos.
Se sugiere tomar como referente el esquema presentado en los informes del Convenio Interadministrativo No. 113 de 2016, con la Universidad Nacional para determinar posibles etapas y facilitar su seguimiento.
Esta actividad recopila 2 productos del Plan Indicativo Cuatrienal, el cual no presenta metas para esta vigencia, sin embargo se dispuso adelantar en el 2016, la elaboración del documento con la inclusión del tema de recarga de sistemas acuíferos, como insumos para el Estudio Nacional del Agua.
Al revisar los antecedentes del cambio presentado, no se pudo evidenciar el procedimiento aplicado para solicitar las modificaciones, por lo que se sugiere de inmediato a los funcionarios presentes, coordinar con la Oficina Asesora de Planeaciòn lo pertinente al cambio, con el objeto de no inducir a malas interpretaciones o distorsiones en la presentación de los documentos, asì como la de no generar posibles observaciones de instancias externas, como lo advierte la Contraloría General de la República en el informe de auditoría vigencia 2015 (Ver hallazgo 16 -folio 84 -comentarios sobre los cambios y documentos de ajustes a la planeación).
El nivel de avance reportado (35%), se estima sobre la elaboraciòn de un informe previo o borrador donde se identificaron referentes tècnicos, el cual no se pudo evidenciar, dada la informaciòn de los responsables del área. 
Con base en lo anterior y dada la descripciòn de la actividad para 2016, se sugiere revisar y fortalecer las acciones para consolidar el estudio, adicional al establecimiento de etapas o fases que se pudiesen desarrollar en la vigencia 2016 con la elaboraciòn del posible contrato, para facilitar el seguimiento periòdico de la gestiòn.
Con relaciòn a la ejecuciòn de los recursos y teniendo en cuenta el tiempo que resta de la vigencia, se puede recomendar de manera respetuosa, revisar las acciones que agilicen no solo el proceso contractual, sino las que se encaminen a asegurar la entrega oportuna de resultados que permitan el cumplimiento del objeto contractual y apliquen a la consolidación del documento final.</t>
  </si>
  <si>
    <r>
      <t>AEROPUERTOS CON REPORTES -Función permanente   
RECURSOS -</t>
    </r>
    <r>
      <rPr>
        <sz val="10"/>
        <rFont val="Arial"/>
        <family val="2"/>
      </rPr>
      <t>73%</t>
    </r>
  </si>
  <si>
    <r>
      <t>La nota técnica se elaboró y entregó a Dirección General y publicado en la web (nuevos escenarios de cambio climatico para Colombia 2011-</t>
    </r>
    <r>
      <rPr>
        <sz val="10"/>
        <rFont val="Arial"/>
        <family val="2"/>
      </rPr>
      <t>2100)</t>
    </r>
    <r>
      <rPr>
        <sz val="10"/>
        <color theme="1"/>
        <rFont val="Arial"/>
        <family val="2"/>
      </rPr>
      <t>, previa selección de las estaciones para generar los indicadores a nivel regional y nacional.</t>
    </r>
  </si>
  <si>
    <t>A finales de 2015 se solicitó el cambio de metas para el cuatrienio y se ajustó a 1 como meta, para desarrollar en 2016.
Al disponer del manual del cluster se adelanta el contrato para la implementación de forma operativa del modelo de predicción climática en un nodo del cluster. Se identifican 3 fases:
1.Desarrollo del script: Programación de sucesión de comandos.
2.Implementación: La predicción de octubre 2016 a marzo 2017 con datos de los meses de julio, agosto y septiembre de 2016.
3.Automatización del modelo: Programar al PC para que haga la tarea automáticamente el día 16 de cada mes.
Para el 2017 se espera la operatividad del modelo de forma automàtica.
La implementación del cluster estuvo a cargo de la Oficina de Informática y se cumplió en el 2015.</t>
  </si>
  <si>
    <t>MODELOS 67% -2 de 3 fases 
RECURSOS 100% a nivel de compromisos</t>
  </si>
  <si>
    <t>Se adelantó el contrato 161 de 2016 con la Universidad Nacional por $150´000.000.</t>
  </si>
  <si>
    <t>DOCUMENTOS 25%
RECURSOS 100% -A nivel de compromisos</t>
  </si>
  <si>
    <t>Esta actividad recopila 2 productos del Plan Indicativo Cuatrienal, los cuales no presentan metas para esta vigencia, sin embargo se dispuso adelantar en el 2016, la elaboración de un documento con la inclusión del tema de recarga de sistemas acuíferos, como insumo para el Estudio Nacional del Agua.
Al revisar los antecedentes del cambio presentado, no se pudo evidenciar el procedimiento aplicado para solicitar las modificaciones, por lo que se sugiere a los funcionarios presentes, adelantar y coordinar con la Oficina Asesora de Planeaciòn lo pertinente al cambio, con el objeto de no inducir a malas interpretaciones o distorsiones en la presentación de los documentos, asì como la de no generar posibles observaciones de instancias externas, como lo advierte la Contraloría General de la República en el informe de auditoría vigencia 2015 (Ver hallazgo 16 -folio 84 -comentarios sobre los cambios y documentos de ajustes a la planeación).
El nivel de avance reportado (35%), se estima sobre la elaboraciòn de un informe previo o borrador donde se identificaron referentes tècnicos, el cual no se pudo evidenciar, dada la informaciòn de los responsables del área.
Con base en lo anterior y según la descripciòn de la actividad para 2016, se sugiere revisar y fortalecer las acciones para consolidar el estudio, adicional al establecimiento de etapas o fases que se pudiesen desarrollar en la vigencia 2016 a través del probable contrato, para facilitar el seguimiento periòdico de la gestiòn.
Con relaciòn a la ejecuciòn de los recursos y teniendo en cuenta el tiempo que resta de la vigencia, se puede recomendar de manera respetuosa, revisar las acciones que agilicen no solo el proceso contractual, sino las que se encaminen a asegurar la entrega oportuna de resultados que permitan el cumplimiento del objeto contractual y apliquen a la consolidación del documento final.</t>
  </si>
  <si>
    <t xml:space="preserve">INFORME -Avance mínimo. No se dispone de evidencias para determinar un avance más significativo.  
RECURSOS 0%
</t>
  </si>
  <si>
    <t>Se adelanta el contrato con la Universidad Nacional, para la elaboraciòn de los 2 documentos previstos:
1.Erosión, transporte y Depósito de sedimentos a nivel de cuenca como una herramienta para la gestión.
2.Aspectos técnicos de la modelación hidrosedimentológica en una zona hidrográfica de la Orinoquia.
Se han entregado 2 informes relacionados con los avances en la formulación del proyecto “Aspectos técnicos de la modelación hidrosedimentológica en una zona hidrográfica de la Orinoquia" (Orfeos 20169910069132 y 20169910104092).</t>
  </si>
  <si>
    <t>Con relaciòn a los 2 documentos de la meta POA2016 concertados, se dispone de 2 informes entregados por la U. Nacional, relacionados con el proyecto de modelación. (Evidencia D:\Jaime\Plan Operativo Anual 2016\Segmnto POA a 30JUN 2016\Sub Hidrologìa - Evidencias avances). El contrato contempla 4 informes.
No se evidenció soporte para el documento de erosión y transporte.
Se sugiere tener más claridad en la identificación de las actividades e indicadores, para no generar confusión en su descripción, así como el de fortalecer acciones para la disposición del primer documento.</t>
  </si>
  <si>
    <t>Se adelantaron los contratos 88/2016 por $49`971.200 y 90/2016 por  $49`971.200 de prestaciòn de servicios y un convenio con la Universidad Nacional, por $395`000.000, para un valor total de $494`942.400.
Los recursos de funcionamiento están destinados a cubrir los gastos de viáticos y gastos de viaje al interior por $72`927.501. Adicionalmente se atendieron gastos de viaje y suministro de tiquetes por $10´000.000.</t>
  </si>
  <si>
    <t>REPORTE 35%
RECURSOS 98% -A nivel de compromisos</t>
  </si>
  <si>
    <r>
      <t xml:space="preserve">La actividad recopila 2 productos del cuatrienio y presenta una actividad en el POA2016, con el reporte de la actualizaciòn del dato hidrològico en el banco de datos, alcanzando una meta de 100% para su indicador.
</t>
    </r>
    <r>
      <rPr>
        <sz val="10"/>
        <color rgb="FFFF0000"/>
        <rFont val="Arial"/>
        <family val="2"/>
      </rPr>
      <t xml:space="preserve">Se debe confrontar el reporte diario en el banco de datos.
</t>
    </r>
    <r>
      <rPr>
        <sz val="10"/>
        <rFont val="Arial"/>
        <family val="2"/>
      </rPr>
      <t>La validación del 35% de los datos del año 2015, no es acorde con el tiempo transcurrido de la vigencia.
S</t>
    </r>
    <r>
      <rPr>
        <sz val="10"/>
        <color theme="1"/>
        <rFont val="Arial"/>
        <family val="2"/>
      </rPr>
      <t>e adelantó el Convenio Interadministrativo 113 de 2016, con la Universidad Nacional de Colombia, con 5 informes de los cuales han entregado 2 (Evidencia-E:\Plan Operativo Anual 2016\Segmnto POA a 30JUN 2016\Sub Hidrologìa - Evidencias avances).
La ejecuciòn presupuestal asciende a $577`869.901, a nivel de compromisos.</t>
    </r>
  </si>
  <si>
    <t>(1) Reuniòn con el Sr. Ramiro Villegas funcionario de la Oficina de Pronòsticos y Alertas Tempranas, el 9/SPT/16 (5 Actividades - 6 Metas - 5367 Productos), con el apoyo del Sr. Gabriel Saldarriaga.
Incluir la acciòn correspondiente.</t>
  </si>
  <si>
    <t>Se identificaron los puntos de instalación de los radares meteorológicos:
1.Bahía Málaga.
2.San José del Guaviare.
3.Barrancabermeja.
La Armada Nacional no permitió la instalación del radar en Bahía Málaga (Acta 26AGT16: D:\Jaime\Plan Operativo Anual 2016\Segmnto POA a 30JUN 2016\Of Pronósticos).
El IDEAM gestiona nueva ubicación con ayuda del Ejército Nacional en el Departamento del Cauca (Popayán), para lo cual se tiene previsto llevar a cabo una visita de reconocimiento en septiembre/2016.
Se firmó el convenio 260 de 2016 con Ecopetrol para la instalación del radar meteorológico en Barrancabermeja (D:\Jaime\Plan Operativo Anual 2016\Segmnto POA a 30JUN 2016\Of Pronósticos).
Se adelanta el borrador del convenio con Ejército Nacional, con respecto a la instalación del radar en San José del Guaviare.
El Fondo Adaptación, indicó que el proceso de compra, se inicia solo cuando se firmen todos los contratos de comodato.
Los informes de gestión (Matriz de indicadores) se han elaborado de manera bimestral (D:\Jaime\Plan Operativo Anual 2016\Segmnto POA a 30JUN 2016\Of Pronósticos).</t>
  </si>
  <si>
    <r>
      <t>Sin apropiaciòn de recursos de inversiòn.
El IDEAM aportò en 2015 $3.600`000.000 al Fondo Adaptaciòn para generar el cambio del radar banda X a banda C (Otrosí 3 y Otrosí 4: 
D:\Jaime\Plan Operativo Anual 2016\Segmnto POA a 30JUN 2016\Of Pronósticos)</t>
    </r>
    <r>
      <rPr>
        <sz val="10"/>
        <color rgb="FFFF0000"/>
        <rFont val="Arial"/>
        <family val="2"/>
      </rPr>
      <t>.</t>
    </r>
  </si>
  <si>
    <t>Los boletines se generan de manera permanente.
El Centro Europeo continua enviando información al IDEAM, los cuales permiten incorporar a los boletines de pronósticos por regiones productos desarrollados a partir del modelo del Centro Europeo ECMWF.
Actualmente, se adelantan gestiones para la renovación de la licencia con el Centro Europeo, pero el servicio de transmisión de datos no ha sido suspendido por parte del Centro Europeo.</t>
  </si>
  <si>
    <t>Se presentan los contratos 164/2015 por $37`500.000 (Prórroga vigencia futura 2016) y 236/2016 por $51`999.900 para un total de $89`499.900.</t>
  </si>
  <si>
    <t>El POA2016 V19AGT16 presenta un total de $25`634.661, con una disminución de $38`351.851.</t>
  </si>
  <si>
    <r>
      <t>Se presenta ejecución presupuestal por $11`977.760,  $37`700.000 y  $22`117.333 para un total de $71`795.093 valor de más (</t>
    </r>
    <r>
      <rPr>
        <sz val="9"/>
        <color rgb="FFFF0000"/>
        <rFont val="Arial"/>
        <family val="2"/>
      </rPr>
      <t>$3`817.333</t>
    </r>
    <r>
      <rPr>
        <sz val="9"/>
        <color theme="1"/>
        <rFont val="Arial"/>
        <family val="2"/>
      </rPr>
      <t xml:space="preserve">).
Los recursos de funcionamiento presentaron una disminución quedando en $25`634.661 y se han ejecutado $9`048.000 saldo de </t>
    </r>
    <r>
      <rPr>
        <sz val="9"/>
        <color rgb="FFFF0000"/>
        <rFont val="Arial"/>
        <family val="2"/>
      </rPr>
      <t>($16`586.661)</t>
    </r>
    <r>
      <rPr>
        <sz val="9"/>
        <color theme="1"/>
        <rFont val="Arial"/>
        <family val="2"/>
      </rPr>
      <t>, en .</t>
    </r>
  </si>
  <si>
    <t>Elaborar, publicar y reaizar monitoreo del Plan Anticorrupción y de Atención al Ciudadano.</t>
  </si>
  <si>
    <t>Plan publicado e informes de monitoreo</t>
  </si>
  <si>
    <r>
      <t xml:space="preserve">Se atendiò lo dispuesto en la normativa (Decreto 124/12) en cuanto a formulaciòn y publicaciòn (31MZO16).
Se realizaron ajustes a la Versiòn 1 y se publicò la versiòn 2.
El monitoreo se efectuó el día </t>
    </r>
    <r>
      <rPr>
        <sz val="9"/>
        <color rgb="FFFF0000"/>
        <rFont val="Arial"/>
        <family val="2"/>
      </rPr>
      <t xml:space="preserve">xxx </t>
    </r>
    <r>
      <rPr>
        <sz val="9"/>
        <color theme="1"/>
        <rFont val="Arial"/>
        <family val="2"/>
      </rPr>
      <t>con referente de tabla de formato DAFP.</t>
    </r>
  </si>
  <si>
    <r>
      <t xml:space="preserve">Esta actividad se adicionò al producto esperado del cuatrienio (Asegurar la sostenibilidad del Sistema de Gestión  Integral de la Entidad) y se adelantò la publicaciòn versiòn 1 de acuerdo a la normativa y posteriormente la versiòn 2. </t>
    </r>
    <r>
      <rPr>
        <sz val="9"/>
        <color rgb="FFFF0000"/>
        <rFont val="Arial"/>
        <family val="2"/>
      </rPr>
      <t>Revisar el informe de monitoreo</t>
    </r>
    <r>
      <rPr>
        <sz val="9"/>
        <color theme="1"/>
        <rFont val="Arial"/>
        <family val="2"/>
      </rPr>
      <t xml:space="preserve">
Se sugiere revisar su pertinencia, para su inclusiòn en el POA2016 o referir su cumplimiento en un informe de gestiòn. </t>
    </r>
  </si>
  <si>
    <t>Los pronòsticos se han dado en los boletines (Condiciones hidrometeorológicas actuales) de manera permanente y son remitidos vía correo electrónico a varias instancias (Presidencia de la República, Unidad Nacional de Gestión del Riesgo, Ministerios). Evidencia: D:\Jaime\Plan Operativo Anual 2016\Segmnto POA a 30JUN 2016\Of Pronósticos.
Actualmente, se adelantan gestiones para la renovación de la licencia con el Centro Europeo, aunque el servicio de transmisión de datos no ha sido suspendido. Evidencia: D:\Jaime\Plan Operativo Anual 2016\Segmnto POA a 30JUN 2016\Of Pronósticos.
Se recomienda adelantar los procesos de contratación que permitan la ejecución de los recursos.</t>
  </si>
  <si>
    <t>Se han generado 1.220 boletines, que sobrepasa la meta 2016. http://goo.gl/U04LnU.
Se coordina el ajuste con la Oficina Asesora de Planeaciòn.</t>
  </si>
  <si>
    <t>Al verificar la ruta http://goo.gl/U04LnU, se evidenció que se direcciona al "Informe Técnico Diario, Nº 244 del 31AGT2016".
De otra parte y dados los boletines que reportan, los cuales sobrepasan la meta 2016, se presenta distorsión en la descripción y cumplimiento de la meta, por lo que se sugiere adelantar, en coordinación con la Oficina Asesora de Planeación, las acciones pertinentes para su ajuste.
Por lo anterior, se debe tener en cuenta la observación de la Contraloría General de la Reública, en el sentido de acatar el procedimiento para las modificaciones que se puedan presentar, siempre y cuando sean oportunas.
Al confrontar los datos suministrados en los reportes de gestión para esta actividad (Matriz de indicadores: D:\Jaime\Plan Operativo Anual 2016\Segmnto POA a 30JUN 2016\Of Pronósticos), se encuentran coincidiencias con los reportados para la actividad 2, por lo que se sugiere revisar los insumos que consolidan estos informes; con el propósito de aclarar el alcance de cada una de las actividades. 
Se sugiere revisar la aplicación de los recursos que no se han comprometido o de lo contrario, realizar las gestiones pertinentes para su oportuna liberación.</t>
  </si>
  <si>
    <t>Losboletines son:
-Informes Diarios de Alertas (http://www.pronosticosyalertas.gov.co/alertas).
-Informes Diarios de Incendios de la Cobertura Vegetal en Colombia (web:http://goo.gl/zDjIo8).
-Informes diarios Amenaza por deslizamientos (http://goo.gl/qKWkCn).
-Informes de Condiciones Hidrometeorológicas (http://goo.gl/CmF1at).
-Informes de situación sinóptica (En julio y agosto 2 informes resumen de condiciones sinópticas -http://goo.gl/pCnCXW).
Se reportan 1.482 boletines.</t>
  </si>
  <si>
    <t>Sin apropiación de recursos de inversión.
Los gastos de funcionamiento presentan una ejecución (Nivel de compromisos), por valor de $1.289`935.010, direccionados a los contratos de prestación de servicios (Honorarios y Remuneración servicios técnicos), como apoyo a la Oficina del Servicio de Pronósticos y Alertas, mediante la prestación de turnos de monitoreo diurno y nocturno.</t>
  </si>
  <si>
    <t>BOLETINES 67% - ASESORIAS 100%
RECURSOS 98%</t>
  </si>
  <si>
    <r>
      <t xml:space="preserve">La Oficina del Servicio de Pronósticos y Alertas presenta el pronóstico semanal en el programa Agenda Colombia del canal institucional de la Presidencia de la República.
Se han adelantado presentaciones de condiciones hidrometeorológicas, en el marco de los Comités de Manejo realizados por la Unidad Nacional de Gestión del Riesgo de Desastres. </t>
    </r>
    <r>
      <rPr>
        <sz val="10"/>
        <color rgb="FFFF0000"/>
        <rFont val="Arial"/>
        <family val="2"/>
      </rPr>
      <t>actas</t>
    </r>
    <r>
      <rPr>
        <sz val="10"/>
        <color theme="1"/>
        <rFont val="Arial"/>
        <family val="2"/>
      </rPr>
      <t xml:space="preserve">
Adicionalmente se llevaron a cabo 9 presentaciones ante Ministerios, Gobernaciones, Municipios, Corporaciones Autónomas regionales y otras entidades.</t>
    </r>
    <r>
      <rPr>
        <sz val="10"/>
        <color rgb="FFFF0000"/>
        <rFont val="Arial"/>
        <family val="2"/>
      </rPr>
      <t>actas</t>
    </r>
    <r>
      <rPr>
        <sz val="10"/>
        <color theme="1"/>
        <rFont val="Arial"/>
        <family val="2"/>
      </rPr>
      <t xml:space="preserve">
Se asesoraron 9 entidades: Amazonia, Antioquia, Nariño, Quindio, Tolima, Caldas, Magdalena, Huila y Valle del Cauca.</t>
    </r>
    <r>
      <rPr>
        <sz val="10"/>
        <color rgb="FFFF0000"/>
        <rFont val="Arial"/>
        <family val="2"/>
      </rPr>
      <t>actas</t>
    </r>
    <r>
      <rPr>
        <sz val="10"/>
        <color theme="1"/>
        <rFont val="Arial"/>
        <family val="2"/>
      </rPr>
      <t xml:space="preserve">
Se generan boletines  informativos sobre el monitoreo de los Fenómenos de variabilidad climática "El Niño" y "La Niña". 
http://goo.gl/asPdRo.</t>
    </r>
  </si>
  <si>
    <t>Estrategia 1: Fortalecer los procesos de la gestión del riesgo: conocimiento, reducción y manejo. (1)</t>
  </si>
  <si>
    <t>Los pronòsticos se han dado en los boletines de manera permanente. Se confrontaron en las rutas indicadas (D:\Jaime\Plan Operativo Anual 2016\Segmnto POA a 30JUN 2016\Of Pronósticos).</t>
  </si>
  <si>
    <t>En atención a las observaciones del hallazgo 16 del informe de auditoría vigencia 2015 de la Contraloría General de la República -CGR, (Folios 84-85 -Meta no cumplida y el cambio de un radar de banda X a un radar banda C no está sustentado ni presentado formalmente en el Plan de Acción), se ajustó el alcance de la actividad, al de "Gestión para la implementación de radar meteorológico..." (D:\Jaime\Plan Operativo Anual 2016\Segmnto POA a 30JUN 2016\Of Pronósticos).
Ante la condición del Fondo Adaptación, de no adelantar el proceso para adquirir los radares, hasta tanto no se firmen todos los convenios, se sugiere revisar la modificación del indicador, en el sentido de direccionarlos hacia la firma de los convenios, para que sea consistente con la actividad y no generar confusión con los reportes.
Dada la flexibilidad del proceso de planeación, se reitera la observación de la CGR, en el sentido de acatar el procedimiento para las modificaciones que se puedan presentar, siempre y cuando sean oportunos al mismo proceso. Gestión que debe ser coordinada con la Oficina Asesora de Planeación.
Se evidenció el reporte de 4 informes de gestión (D:\Jaime\Plan Operativo Anual 2016\Segmnto POA a 30JUN 2016\Of Pronósticos).</t>
  </si>
  <si>
    <t>BOLETINES 76%
RECURSOS -Sin apropiaciòn de recursos de inversiòn</t>
  </si>
  <si>
    <r>
      <t>La Oficina del Servicio de Pronósticos y Alertas genera boletines agrometeorológicos semanales (http://goo.gl/WdLwp2).
Adicionalmente generó 307 boletines diarios de pronósticos que incorpora la información de pronósticos por regiones.
La Oficina del Servicio de Pronósticos y Alertas emite boletines de pronóstico para El Cerrejón que se envían correo electrónico.</t>
    </r>
    <r>
      <rPr>
        <sz val="10"/>
        <color rgb="FFFF0000"/>
        <rFont val="Arial"/>
        <family val="2"/>
      </rPr>
      <t>correo</t>
    </r>
  </si>
  <si>
    <t>Con base en los informes de gestión, se han elaborado (Matriz de indicadores:D:\Jaime\Plan Operativo Anual 2016\Segmnto POA a 30JUN 2016\Of Pronósticos):
-Boletines agrometeorológicos = 35
-Pronósticos regionales = 853
-Boletines para el Cerrejón = 68
Se dispone entonces de 956 boletines en total, que indica el 76% de lo previsto, lo que puede predecir que la meta se supera. Por lo anterior y dadas las múltiples aplicaciones que permite la generación de los datos, se sugiere una descripción más amplia sobre cada uno de los informes y de sus destinatarios, en cumplimiento, entre otros, a lo estipulado en el numeral 5 del artículo 10 del decreto 291/2004, así como la de atender las observaciones de la Contraloría General de la República -CGR, en el sentido de describir metas ajustadas.
Los boletines agrometeorológicos semanales se evidenciaron en la ruta http://goo.gl/WdLwp2, conforme lo estipulado.
Revisar y ajustar el Plan Indicativo Cuatrienal, ya que éste indica que la meta cuatrienal es de 1.460 para el producto esperado: "Pronósticos especializados a sectores productivos".
Se sugiere además, revisar el alcance dado en el informe de auditoría vigencia 2015 de la CGR, (Hallazgo 16, Folio 83), para atender o anticipar cualquier requerimiento.</t>
  </si>
  <si>
    <r>
      <t xml:space="preserve">Se adelanta el contrato </t>
    </r>
    <r>
      <rPr>
        <sz val="10"/>
        <rFont val="Arial"/>
        <family val="2"/>
      </rPr>
      <t>108/2016</t>
    </r>
    <r>
      <rPr>
        <sz val="10"/>
        <color theme="1"/>
        <rFont val="Arial"/>
        <family val="2"/>
      </rPr>
      <t xml:space="preserve"> por $41`472.000.
Los recursos asignados solo se aplican para el tema de sequia.</t>
    </r>
  </si>
  <si>
    <t>Seguimiento OCI Agosto 2016</t>
  </si>
  <si>
    <t>(1) Reunión con los señores: Franklyn Ruiz Murcia, Olga Cecilia Gonzalez, Ruth Leonor Correa y Martha Cecilia Correa, funcionarios de la Subdirección de Meteorología, el 6/SPT/16 (7 Actividades - 8 Metas - 155 Productos).</t>
  </si>
  <si>
    <r>
      <t>Se dispone de los contratos:
-</t>
    </r>
    <r>
      <rPr>
        <sz val="10"/>
        <rFont val="Arial"/>
        <family val="2"/>
      </rPr>
      <t>105/2016 por $41`472.000
-107/2016</t>
    </r>
    <r>
      <rPr>
        <sz val="10"/>
        <color theme="1"/>
        <rFont val="Arial"/>
        <family val="2"/>
      </rPr>
      <t xml:space="preserve"> por $36`864.000
Para una ejecución total de $78`336.000.</t>
    </r>
  </si>
  <si>
    <r>
      <t xml:space="preserve">BOLETINES -67%
RECURSOS -100% </t>
    </r>
    <r>
      <rPr>
        <sz val="10"/>
        <rFont val="Arial"/>
        <family val="2"/>
      </rPr>
      <t>a nivel de compromisos</t>
    </r>
  </si>
  <si>
    <t>A la fecha se dispone de 8 boletines agrometeorológicos y 8 boletines climáticos.
Se presenta un rezago de 15 días, pero se asegura su publicación.</t>
  </si>
  <si>
    <t>Sin apropiación de recursos.</t>
  </si>
  <si>
    <t>No se evidencia una estructura formal del documento, por lo que se indica por parte de los responsables del área, que para el desarrollo del documento final se presentará una ejecución por etapas o fases, en lo relacionado con la preparación de las fuentes de datos. Además, se analiza la reorientación o ajuste de la actividad hacia el mes de octubre de 2016.
Dadas las condiciones del proceso, no se puede estimar un avance sobre su desarrollo.
Por lo anterior, se sugiere la definición y formulación de las fases que permitan consolidar el estudio y en especial tener claridad sobre el alcance del 25% propuesto para el 2016, identificando los elementos o componentes que se esperan obtener en esta vigencia.</t>
  </si>
  <si>
    <r>
      <t>INFORME -</t>
    </r>
    <r>
      <rPr>
        <sz val="10"/>
        <rFont val="Arial"/>
        <family val="2"/>
      </rPr>
      <t>No se dispone de</t>
    </r>
    <r>
      <rPr>
        <sz val="10"/>
        <color theme="1"/>
        <rFont val="Arial"/>
        <family val="2"/>
      </rPr>
      <t xml:space="preserve"> evidencias para determinar un avance significativo
RECURSOS -Sin apropiación</t>
    </r>
  </si>
  <si>
    <t>En el Plan Indicativo Cuatrienal 2015-2018, se describe como meta cuatrienal la elaboración de 4 modelos, sin embargo se indicó por parte de los responsables del área, que a finales del 2015 se solicitó la modificación de las metas, con el propósito de dejar solo 2 modelos para el cuatrienio.
Dicha gestión se adelantó y por tanto se registra una meta cuatrienal de 2 modelos en el presente documento, pero con meta 0 para 2016.
Sin embargo, en el POA2016 (actual documento), se determinó registrar como meta 1 modelo para la presente vigencia.
Al respecto, se deben realizar los ajustes pertinentes en el Plan Indicativo Cuatrienal 2015-2018, ya aún presenta la meta cuatrienal de 4 modelos.
De otra parte, la descripción de la meta establecida para el 2016 en el presente documento, genera confusión al confrontarla con lo registrado para el cuatrienio, ya que para dicho año, la meta es de 0, lo que denota inconsistencia en el proceso de planeación, por lo que se sugiere realizar llos ajustes en coordinación con la Oficina Asesora de Planeación para no generar inconsistencias y posibles observaciones de entes externos.
Aunque se evidencian los modelos de pronósticos "MODELO WRF, MODELO GFS, MODELO MM5, ENSAMBLE PROBABILISTICO" (modelos.ideam.gov.co bart.ideam.gov.co/wrfideam), y dada la confusión de la actividad para el año 2016, no se puede establecer un avance objetivo, relacionado con la actividad descrita. Se dispone de la elaboración de una Guía "COMO INTERPRETAR LOS MODELOS DE PRONÒSTICO DEL ESTADO DEL TIEMPO".</t>
  </si>
  <si>
    <t>MODELOS -No hay evidencia para un avance del 2016, aunque los modelos están en operación
RECURSOS -Sin apropiación</t>
  </si>
  <si>
    <t>Sin apropiación de recursos de inversión.
Los recursos de funcionamiento se aplican en:
1.Compra de 905 radiosondas según contrato 85/2016 por $700`000.000, que ya se canceló.
2.Se ha programado la compra de globos meteorológicos por $45`000.000, que se encuentra en proceso de revisión por la Oficina Asesora Jurídica.
3.Se ha programado la compra de helio y otros gases por $90`000.000 y se adelanta la elaboración de los estudios previos.
4.En noviembre/2016, se tiene programado el 5° curso - taller de actualización en meteorología aeronaútica y se dispone de $86`000.000 para la organización del evento y de $43`658.537 para el desplazamiento de los funcionarios.</t>
  </si>
  <si>
    <t>Se evidenció el cumplimiento de los reportes a los aeropuertos en: http://bart.ideam.gov.co/metares/ (Se adiciona el aeropuerto de Providencia que es anexo al de San Andrès).
Se sugiere revisar la pertinencia de esta actividad para incluirla en el POA2016, ya que se trata de una gestión permanente (Como función -Numerales 6 y 18 Art. 13 Decreto 291/04), por lo que se sugiere al coordinador del grupo de meteorología aeronaútica adelantar las gestiones con la Oficina Asesora de Planeaciòn, para determinar si amerita un ajuste.
Se presenta diferencia entre los recursos de funcionamiento asignados en el presente documento y lo consignado en el Plan de Contratación aportado por el área ($1.024`658.537). La ejecución presupuestal es del 73%.
Se recomienda adelantar de manera inmediata, los demás procesos de contratación que permitan lograr un mayor nivel de ejecución de los recursos.</t>
  </si>
  <si>
    <t>La actividad presenta modificaciones con respecto a lo establecido en el Plan Indicativo Cuattrienal 2015-2018, ya que figura una meta cuatrienal de 3 modelos y aunque se realizó el cambio en el presente documento para la meta cuatrienal, aún no se registra la modificación en el citado plan, lo que conlleva a distorsiones en los instrumentos de planeación.
Dadas las fases establecidas, se han desarrollado 2 fases. Se adelantan las gestiones para la operación de los modelos, quedando pendiente la presentaciòn definitiva del modelo, para finales de la presente vigencia. La fase de implementación se tiene a nivel interno en la Intranet (http://192.168.157.6/wrf/wrfnuevo/pclimatica.html), lo que genera un avance del 67%.
La ejecución presupuestal es del 100%, a nivel de compromisos.</t>
  </si>
  <si>
    <t>Se avanza en el diseño de los algoritmos de cálculo para generar los indicadores, en razón a la solicitud de la Dirección General del documento para la vigencia 2016.</t>
  </si>
  <si>
    <t>DOCUMENTOS:
ACTIVIDAD 1 Nota Técnica 100%
ACTIVIDAD 2 -No se dispone de evidencias para determinar un avance
ACTIVIDAD 3 Avance 25%
RECURSOS 100% a nivel de compromisos</t>
  </si>
  <si>
    <r>
      <t xml:space="preserve">Se dispone de los contratos:
-86/2016 por $875`850.746
-188/2016 por $158`400.000.
Se programa una adición de $291`000.000, al contrato 86/2016.
Al considerar la adición, la ejecuciòn es </t>
    </r>
    <r>
      <rPr>
        <sz val="10"/>
        <rFont val="Arial"/>
        <family val="2"/>
      </rPr>
      <t>de $1.325`250.746 en recursos de inversión, que supera el valor de lo consignado en el presente documento.
Los recursos de funcionamiento se aplicaron en desplazamiento de funcionarios por $12`000.000 y en auditorìa por $10`000.000 de la Red Meteorològica y Banco de datos.</t>
    </r>
  </si>
  <si>
    <t>Se dispone de las serie diarias de temperatura media, mínima y máxima para el período 1974-2014.</t>
  </si>
  <si>
    <t>ESTACIONES -55%
DATOS -67%
RECURSOS 100% a nivel de compromisos</t>
  </si>
  <si>
    <r>
      <t xml:space="preserve">Esta actividad 7, para la vigencia 2016, se desarrolla con 2 metas:
1. "Estaciones con control de calidad y con informacion de precipitacion las 24 horas".
2. "Actualizar variables metereológicas del banco de datos".
META 1: propone 100 estaciones con información de precipitación, las cuales se seleccionaron conforme a criterios estratégicos de ubicación o de mayor representatividad en cada área operativa. Se dispone de información de 55 estaciones, con un reporte consolidado de 373.918 gràficas validadas (3 informes). </t>
    </r>
    <r>
      <rPr>
        <sz val="10"/>
        <rFont val="Arial"/>
        <family val="2"/>
      </rPr>
      <t>(X:\Todos\Meteorologia\CONTROL INTERNO). El avance es del 55%.</t>
    </r>
    <r>
      <rPr>
        <sz val="10"/>
        <color theme="1"/>
        <rFont val="Arial"/>
        <family val="2"/>
      </rPr>
      <t xml:space="preserve">
META 2: contempla la disposición de datos diarios de precipitación y temperaturas para el período 1974-2014, </t>
    </r>
    <r>
      <rPr>
        <sz val="10"/>
        <rFont val="Arial"/>
        <family val="2"/>
      </rPr>
      <t xml:space="preserve">por lo que se adelantó un contrato con la Universidad Nacional, quién </t>
    </r>
    <r>
      <rPr>
        <sz val="10"/>
        <color theme="1"/>
        <rFont val="Arial"/>
        <family val="2"/>
      </rPr>
      <t xml:space="preserve">entregó 2 informes (julio y agosto/2016), de los 3 productos acordados. (X:\Todos\Meteorologia\CONTROL INTERNO). </t>
    </r>
    <r>
      <rPr>
        <sz val="10"/>
        <rFont val="Arial"/>
        <family val="2"/>
      </rPr>
      <t xml:space="preserve">El avance es del 67%, lo cual es consistente con lo acordado.
Si bien se avanza en el cumplimiento de las metas 2016, se debe revisar la consistencia de las metas alcanzadas en la vigencia 2016, con relación a la meta del 25% del Plan Indicativo Cuatrienal, y aclarar si el logro de estas metas corresponde al 25% en la elaboraciòn del documento final.
</t>
    </r>
    <r>
      <rPr>
        <sz val="10"/>
        <color theme="1"/>
        <rFont val="Arial"/>
        <family val="2"/>
      </rPr>
      <t xml:space="preserve">
De otra parte, al indicar que la actividad 6 del presente documento, se asocia y coadyuva con esta actividad, plantea escenarios confusos que no permiten claridad con uno de los productos del cuatrienio, que es el de disponer del estudio de la sequía.
Se sugiere presentar replanteamientos en la definición y alcance de actividades, con apoyo de la Oficina Asesora de Planeación.
Con relación a los recursos, se evidenció una diferencia entre los recursos de inversión (inversión nación) asignados en el presente documento y lo consignado en el Plan de Contratación aportado por el área, ya que este último registra un valor de $1.036`362.746, con una diferencia de $291´000.000, que es el valor de la adición del contrato 86/2016. La ejecución de recursos, tanto de inversión como de funcionamiento es del 100%, los de inversión a nivel de compromisos.</t>
    </r>
  </si>
  <si>
    <t>Con relación a la meta, se evidenciaron los 8 boletines agrometeorológicos y 8 boletines climáticos (http://www.ideam.gov.co/web/tiempo-y-clima/boletin-agrometeorologico-mensual-del-altiplano-cundiboyacense - http://www.ideam.gov.co/web/tiempo-y-clima/climatologico-mensual). Al considerar los 24 boletines para la vigencia 2016, el avance es del 67% (16/24).
Pese a que se dispone de una contratación por $78`336.000, y su nivel de ejecución es del 100%, hay que tener en cuenta que su ejecución es a nivel de compromisos.</t>
  </si>
  <si>
    <r>
      <t xml:space="preserve">META 1:   Para la primera actividad, aunque en el Plan Indicativo Cuatrienal no se consideró meta para 2016, se dispuso elaborar un documento general para esta vigencia, el cual se elaboró y entregó a la Dirección General. Se evidencia en https://goo.gl/QiUMqL. El avance es del 100%.
Se presentó además, la revista interna de IDEAM, "El Tablero" como avance, indicando que 2015 había sido el año más caliente y menos lluvioso de los últimos 35 años en Colombia.
Se evidencìo en https://issuu.com/ideaminstituto0/docs/el-tablero-marzo.
Adicionalmente, se adelantan acciones para generar los indicadores a nivel regional y nacional en estaciones seleccionadas.
 </t>
    </r>
    <r>
      <rPr>
        <sz val="10"/>
        <color rgb="FFFF0000"/>
        <rFont val="Arial"/>
        <family val="2"/>
      </rPr>
      <t xml:space="preserve">
</t>
    </r>
    <r>
      <rPr>
        <sz val="10"/>
        <rFont val="Arial"/>
        <family val="2"/>
      </rPr>
      <t>META 2:</t>
    </r>
    <r>
      <rPr>
        <b/>
        <sz val="10"/>
        <rFont val="Arial"/>
        <family val="2"/>
      </rPr>
      <t xml:space="preserve"> </t>
    </r>
    <r>
      <rPr>
        <sz val="10"/>
        <rFont val="Arial"/>
        <family val="2"/>
      </rPr>
      <t>Se debe revisar la consistencia de lo descrito para esta actividad, ya que la meta cuatrienal describe 1 documento para 2016, pero en este documento (POA2016) se presenta como meta un 25% de avance en la vigencia; situación ésta que distorsiona su presentación. Se recomienda consolidar los criterios para no generar confusiones en la presentación e interpretación de indicadores y metas.
Se sugiere implementar acciones que fortalezcan la atención y priorización de los temas en la construcción del documento, ya que no se puede determinar un nivel de avance.
META 3: Aunque se destacan las gestiones que se adelantan para el desarrollo de la ctividad, como el cálculo estadístico en número de eventos de sequía y cálculo de los períodos de retorno de la serie del índice seleccionado, son insumos para la nota técnica final, por lo que se sugiere identificar componentes o etapas del informe para consolidar su elaboración. Se estima un 25% de avance.
Los recursos presentan un 100% de ejecución a nivel de compromisos.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</si>
</sst>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0.0"/>
    <numFmt numFmtId="165" formatCode="[$$-240A]\ #,##0"/>
    <numFmt numFmtId="166" formatCode="&quot;$&quot;\ #,##0.00"/>
    <numFmt numFmtId="167" formatCode="_-* #,##0.00\ _€_-;\-* #,##0.00\ _€_-;_-* &quot;-&quot;??\ _€_-;_-@_-"/>
    <numFmt numFmtId="168" formatCode="[$$-240A]\ #,##0.00_);\([$$-240A]\ #,##0.00\)"/>
    <numFmt numFmtId="169" formatCode="_ * #,##0.00_ ;_ * \-#,##0.00_ ;_ * &quot;-&quot;??_ ;_ @_ "/>
    <numFmt numFmtId="170" formatCode="_ &quot;$&quot;\ * #,##0.00_ ;_ &quot;$&quot;\ * \-#,##0.00_ ;_ &quot;$&quot;\ * &quot;-&quot;??_ ;_ @_ "/>
    <numFmt numFmtId="171" formatCode="_-* #,##0.00\ &quot;€&quot;_-;\-* #,##0.00\ &quot;€&quot;_-;_-* &quot;-&quot;??\ &quot;€&quot;_-;_-@_-"/>
    <numFmt numFmtId="172" formatCode="_ * #,##0_ ;_ * \-#,##0_ ;_ * &quot;-&quot;??_ ;_ @_ "/>
    <numFmt numFmtId="173" formatCode="&quot;$&quot;\ #,##0"/>
    <numFmt numFmtId="174" formatCode="[$$-240A]\ #,##0.00"/>
    <numFmt numFmtId="175" formatCode="_(* #,##0_);_(* \(#,##0\);_(* &quot;-&quot;??_);_(@_)"/>
    <numFmt numFmtId="176" formatCode="_(&quot;$&quot;\ * #,##0_);_(&quot;$&quot;\ * \(#,##0\);_(&quot;$&quot;\ * &quot;-&quot;??_);_(@_)"/>
    <numFmt numFmtId="177" formatCode="0.000"/>
  </numFmts>
  <fonts count="73"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sz val="11"/>
      <color indexed="8"/>
      <name val="Calibri"/>
      <family val="2"/>
    </font>
    <font>
      <sz val="9"/>
      <color indexed="81"/>
      <name val="Tahoma"/>
      <family val="2"/>
    </font>
    <font>
      <b/>
      <sz val="14"/>
      <name val="Arial"/>
      <family val="2"/>
    </font>
    <font>
      <sz val="10"/>
      <name val="Arial"/>
      <family val="2"/>
      <charset val="1"/>
    </font>
    <font>
      <sz val="11"/>
      <name val="Arial Narrow"/>
      <family val="2"/>
    </font>
    <font>
      <b/>
      <sz val="11"/>
      <name val="Arial Narrow"/>
      <family val="2"/>
    </font>
    <font>
      <b/>
      <sz val="9"/>
      <name val="Arial Narrow"/>
      <family val="2"/>
    </font>
    <font>
      <sz val="9"/>
      <name val="Arial Narrow"/>
      <family val="2"/>
    </font>
    <font>
      <b/>
      <sz val="9"/>
      <color indexed="8"/>
      <name val="Arial Narrow"/>
      <family val="2"/>
    </font>
    <font>
      <b/>
      <sz val="9"/>
      <color indexed="81"/>
      <name val="Tahoma"/>
      <family val="2"/>
    </font>
    <font>
      <b/>
      <sz val="11"/>
      <name val="Arial"/>
      <family val="2"/>
    </font>
    <font>
      <b/>
      <sz val="10"/>
      <name val="Arial Narrow"/>
      <family val="2"/>
    </font>
    <font>
      <b/>
      <sz val="18"/>
      <name val="Arial"/>
      <family val="2"/>
    </font>
    <font>
      <b/>
      <sz val="18"/>
      <name val="Arial Narrow"/>
      <family val="2"/>
    </font>
    <font>
      <b/>
      <sz val="14"/>
      <name val="Arial Narrow"/>
      <family val="2"/>
    </font>
    <font>
      <sz val="14"/>
      <name val="Arial Narrow"/>
      <family val="2"/>
    </font>
    <font>
      <b/>
      <sz val="12"/>
      <name val="Arial Narrow"/>
      <family val="2"/>
    </font>
    <font>
      <b/>
      <sz val="8"/>
      <name val="Arial Narrow"/>
      <family val="2"/>
    </font>
    <font>
      <sz val="8"/>
      <name val="Arial Narrow"/>
      <family val="2"/>
    </font>
    <font>
      <b/>
      <sz val="20"/>
      <name val="Arial"/>
      <family val="2"/>
    </font>
    <font>
      <sz val="28"/>
      <name val="Arial"/>
      <family val="2"/>
    </font>
    <font>
      <b/>
      <u/>
      <sz val="9"/>
      <color indexed="81"/>
      <name val="Tahoma"/>
      <family val="2"/>
    </font>
    <font>
      <sz val="11"/>
      <color theme="1"/>
      <name val="Calibri"/>
      <family val="2"/>
      <scheme val="minor"/>
    </font>
    <font>
      <b/>
      <sz val="11"/>
      <color theme="1"/>
      <name val="Calibri"/>
      <family val="2"/>
      <scheme val="minor"/>
    </font>
    <font>
      <sz val="11"/>
      <name val="Calibri"/>
      <family val="2"/>
      <scheme val="minor"/>
    </font>
    <font>
      <b/>
      <sz val="14"/>
      <color theme="0"/>
      <name val="Arial"/>
      <family val="2"/>
    </font>
    <font>
      <b/>
      <sz val="9"/>
      <color theme="1"/>
      <name val="Arial Narrow"/>
      <family val="2"/>
    </font>
    <font>
      <sz val="9"/>
      <color theme="1"/>
      <name val="Arial Narrow"/>
      <family val="2"/>
    </font>
    <font>
      <sz val="11"/>
      <color theme="1"/>
      <name val="Arial"/>
      <family val="2"/>
    </font>
    <font>
      <b/>
      <sz val="14"/>
      <color theme="9" tint="-0.249977111117893"/>
      <name val="Arial Narrow"/>
      <family val="2"/>
    </font>
    <font>
      <b/>
      <sz val="14"/>
      <color theme="0"/>
      <name val="Arial Narrow"/>
      <family val="2"/>
    </font>
    <font>
      <b/>
      <sz val="14"/>
      <color theme="1"/>
      <name val="Arial Narrow"/>
      <family val="2"/>
    </font>
    <font>
      <b/>
      <sz val="11"/>
      <color theme="0"/>
      <name val="Arial Narrow"/>
      <family val="2"/>
    </font>
    <font>
      <b/>
      <sz val="9"/>
      <color theme="0"/>
      <name val="Arial Narrow"/>
      <family val="2"/>
    </font>
    <font>
      <sz val="11"/>
      <color theme="1"/>
      <name val="Arial Narrow"/>
      <family val="2"/>
    </font>
    <font>
      <b/>
      <sz val="11"/>
      <color theme="1"/>
      <name val="Arial Narrow"/>
      <family val="2"/>
    </font>
    <font>
      <sz val="9"/>
      <name val="Calibri"/>
      <family val="2"/>
      <scheme val="minor"/>
    </font>
    <font>
      <sz val="9"/>
      <color rgb="FF000000"/>
      <name val="Arial Narrow"/>
      <family val="2"/>
    </font>
    <font>
      <b/>
      <sz val="9"/>
      <name val="Calibri"/>
      <family val="2"/>
      <scheme val="minor"/>
    </font>
    <font>
      <sz val="14"/>
      <color theme="1"/>
      <name val="Arial Narrow"/>
      <family val="2"/>
    </font>
    <font>
      <b/>
      <sz val="14"/>
      <color theme="1"/>
      <name val="Calibri"/>
      <family val="2"/>
      <scheme val="minor"/>
    </font>
    <font>
      <b/>
      <sz val="11"/>
      <color theme="1"/>
      <name val="Arial"/>
      <family val="2"/>
    </font>
    <font>
      <b/>
      <sz val="12"/>
      <color theme="1"/>
      <name val="Arial"/>
      <family val="2"/>
    </font>
    <font>
      <sz val="11"/>
      <color rgb="FFFF0000"/>
      <name val="Calibri"/>
      <family val="2"/>
      <scheme val="minor"/>
    </font>
    <font>
      <sz val="14"/>
      <name val="Arial"/>
      <family val="2"/>
    </font>
    <font>
      <b/>
      <sz val="12"/>
      <color rgb="FFFF0000"/>
      <name val="Arial"/>
      <family val="2"/>
    </font>
    <font>
      <b/>
      <sz val="9"/>
      <color rgb="FFFF0000"/>
      <name val="Arial Narrow"/>
      <family val="2"/>
    </font>
    <font>
      <sz val="12"/>
      <color theme="1"/>
      <name val="Calibri"/>
      <family val="2"/>
      <scheme val="minor"/>
    </font>
    <font>
      <sz val="10"/>
      <name val="Arial Narrow"/>
      <family val="2"/>
    </font>
    <font>
      <sz val="9"/>
      <color rgb="FFFF0000"/>
      <name val="Arial Narrow"/>
      <family val="2"/>
    </font>
    <font>
      <sz val="10"/>
      <color theme="1"/>
      <name val="Arial"/>
      <family val="2"/>
    </font>
    <font>
      <sz val="9"/>
      <color theme="1"/>
      <name val="Arial"/>
      <family val="2"/>
    </font>
    <font>
      <sz val="9"/>
      <color rgb="FFFF0000"/>
      <name val="Arial"/>
      <family val="2"/>
    </font>
    <font>
      <sz val="9"/>
      <name val="Arial"/>
      <family val="2"/>
    </font>
    <font>
      <u/>
      <sz val="9"/>
      <color theme="1"/>
      <name val="Arial"/>
      <family val="2"/>
    </font>
    <font>
      <u/>
      <sz val="9"/>
      <name val="Arial"/>
      <family val="2"/>
    </font>
    <font>
      <u/>
      <sz val="9"/>
      <color rgb="FFFF0000"/>
      <name val="Arial"/>
      <family val="2"/>
    </font>
    <font>
      <u/>
      <sz val="10"/>
      <color theme="1"/>
      <name val="Arial"/>
      <family val="2"/>
    </font>
    <font>
      <sz val="10"/>
      <color rgb="FFFF0000"/>
      <name val="Arial"/>
      <family val="2"/>
    </font>
    <font>
      <u/>
      <sz val="10"/>
      <color rgb="FFFF0000"/>
      <name val="Arial"/>
      <family val="2"/>
    </font>
    <font>
      <u/>
      <sz val="9"/>
      <color theme="1"/>
      <name val="Arial Narrow"/>
      <family val="2"/>
    </font>
    <font>
      <u/>
      <sz val="9"/>
      <color rgb="FFFF0000"/>
      <name val="Arial Narrow"/>
      <family val="2"/>
    </font>
    <font>
      <sz val="12"/>
      <name val="Arial Narrow"/>
      <family val="2"/>
    </font>
    <font>
      <b/>
      <sz val="12"/>
      <color theme="1"/>
      <name val="Arial Narrow"/>
      <family val="2"/>
    </font>
    <font>
      <b/>
      <sz val="12"/>
      <color theme="0"/>
      <name val="Arial Narrow"/>
      <family val="2"/>
    </font>
    <font>
      <u/>
      <sz val="10"/>
      <name val="Arial"/>
      <family val="2"/>
    </font>
    <font>
      <b/>
      <sz val="9"/>
      <name val="Arial"/>
      <family val="2"/>
    </font>
    <font>
      <b/>
      <sz val="10"/>
      <name val="Arial"/>
      <family val="2"/>
    </font>
  </fonts>
  <fills count="19">
    <fill>
      <patternFill patternType="none"/>
    </fill>
    <fill>
      <patternFill patternType="gray125"/>
    </fill>
    <fill>
      <patternFill patternType="solid">
        <fgColor indexed="47"/>
        <bgColor indexed="64"/>
      </patternFill>
    </fill>
    <fill>
      <patternFill patternType="solid">
        <fgColor rgb="FFCCFFFF"/>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FFFFF"/>
        <bgColor rgb="FFFFFFCC"/>
      </patternFill>
    </fill>
    <fill>
      <patternFill patternType="solid">
        <fgColor theme="0"/>
        <bgColor indexed="64"/>
      </patternFill>
    </fill>
    <fill>
      <patternFill patternType="solid">
        <fgColor rgb="FFFFFF00"/>
        <bgColor indexed="64"/>
      </patternFill>
    </fill>
    <fill>
      <patternFill patternType="solid">
        <fgColor rgb="FFFFFF00"/>
        <bgColor rgb="FFFFFFCC"/>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style="thin">
        <color theme="0"/>
      </top>
      <bottom style="thin">
        <color theme="0"/>
      </bottom>
      <diagonal/>
    </border>
    <border>
      <left style="thin">
        <color theme="9" tint="-0.249977111117893"/>
      </left>
      <right/>
      <top style="thin">
        <color theme="0"/>
      </top>
      <bottom/>
      <diagonal/>
    </border>
    <border>
      <left style="thin">
        <color theme="9" tint="-0.249977111117893"/>
      </left>
      <right/>
      <top/>
      <bottom style="thin">
        <color theme="0"/>
      </bottom>
      <diagonal/>
    </border>
    <border>
      <left/>
      <right style="thin">
        <color theme="9" tint="-0.249977111117893"/>
      </right>
      <top style="thin">
        <color theme="9" tint="-0.249977111117893"/>
      </top>
      <bottom style="thin">
        <color theme="9" tint="-0.249977111117893"/>
      </bottom>
      <diagonal/>
    </border>
    <border>
      <left style="thin">
        <color theme="1"/>
      </left>
      <right style="thin">
        <color theme="1"/>
      </right>
      <top style="thin">
        <color theme="1"/>
      </top>
      <bottom style="thin">
        <color theme="1"/>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style="thin">
        <color indexed="64"/>
      </left>
      <right/>
      <top/>
      <bottom/>
      <diagonal/>
    </border>
    <border>
      <left/>
      <right/>
      <top style="thin">
        <color indexed="64"/>
      </top>
      <bottom/>
      <diagonal/>
    </border>
    <border>
      <left/>
      <right style="thin">
        <color indexed="64"/>
      </right>
      <top/>
      <bottom/>
      <diagonal/>
    </border>
  </borders>
  <cellStyleXfs count="36">
    <xf numFmtId="0" fontId="0" fillId="0" borderId="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7" fontId="5"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4"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5" fillId="0" borderId="0" applyFont="0" applyFill="0" applyBorder="0" applyAlignment="0" applyProtection="0"/>
    <xf numFmtId="171"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8" fillId="0" borderId="0"/>
  </cellStyleXfs>
  <cellXfs count="830">
    <xf numFmtId="0" fontId="0" fillId="0" borderId="0" xfId="0"/>
    <xf numFmtId="0" fontId="2" fillId="0" borderId="0" xfId="23" applyFont="1" applyProtection="1">
      <protection locked="0"/>
    </xf>
    <xf numFmtId="0" fontId="3" fillId="0" borderId="0" xfId="23" applyFont="1" applyAlignment="1" applyProtection="1">
      <alignment horizontal="left" vertical="center"/>
      <protection locked="0"/>
    </xf>
    <xf numFmtId="0" fontId="3" fillId="0" borderId="0" xfId="23" applyFont="1" applyProtection="1">
      <protection locked="0"/>
    </xf>
    <xf numFmtId="0" fontId="3" fillId="0" borderId="0" xfId="23" applyFont="1" applyFill="1" applyAlignment="1" applyProtection="1">
      <alignment horizontal="center" vertical="center"/>
      <protection locked="0"/>
    </xf>
    <xf numFmtId="0" fontId="3" fillId="0" borderId="0" xfId="23" applyFont="1" applyFill="1" applyAlignment="1" applyProtection="1">
      <alignment vertical="center"/>
      <protection locked="0"/>
    </xf>
    <xf numFmtId="0" fontId="3" fillId="0" borderId="0" xfId="23" applyFont="1" applyAlignment="1" applyProtection="1">
      <alignment horizontal="center" vertical="center"/>
      <protection locked="0"/>
    </xf>
    <xf numFmtId="0" fontId="2" fillId="0" borderId="0" xfId="23" applyFont="1" applyAlignment="1" applyProtection="1">
      <alignment horizontal="center" vertical="center"/>
      <protection locked="0"/>
    </xf>
    <xf numFmtId="0" fontId="3" fillId="0" borderId="0" xfId="23" applyFont="1" applyFill="1" applyAlignment="1" applyProtection="1">
      <alignment horizontal="left" vertical="center"/>
      <protection locked="0"/>
    </xf>
    <xf numFmtId="0" fontId="3" fillId="0" borderId="0" xfId="23" applyFont="1" applyFill="1" applyBorder="1" applyProtection="1">
      <protection locked="0"/>
    </xf>
    <xf numFmtId="0" fontId="4" fillId="0" borderId="0" xfId="23" applyFont="1" applyProtection="1">
      <protection locked="0"/>
    </xf>
    <xf numFmtId="0" fontId="3" fillId="0" borderId="0" xfId="23" applyFont="1" applyAlignment="1" applyProtection="1">
      <alignment vertical="center"/>
      <protection locked="0"/>
    </xf>
    <xf numFmtId="0" fontId="1" fillId="0" borderId="0" xfId="23" applyFont="1" applyFill="1" applyBorder="1" applyAlignment="1" applyProtection="1">
      <alignment vertical="center"/>
      <protection locked="0"/>
    </xf>
    <xf numFmtId="0" fontId="7" fillId="0" borderId="0" xfId="23" applyFont="1" applyAlignment="1" applyProtection="1">
      <alignment horizontal="center" vertical="center"/>
      <protection locked="0"/>
    </xf>
    <xf numFmtId="0" fontId="1" fillId="0" borderId="0" xfId="23" applyFont="1" applyFill="1" applyBorder="1" applyProtection="1">
      <protection locked="0"/>
    </xf>
    <xf numFmtId="0" fontId="1" fillId="0" borderId="0" xfId="23" applyFont="1" applyFill="1" applyBorder="1" applyAlignment="1" applyProtection="1">
      <alignment vertical="center" wrapText="1"/>
      <protection locked="0"/>
    </xf>
    <xf numFmtId="0" fontId="1" fillId="0" borderId="0" xfId="0" applyFont="1" applyFill="1" applyBorder="1" applyAlignment="1" applyProtection="1">
      <alignment wrapText="1"/>
      <protection locked="0"/>
    </xf>
    <xf numFmtId="166" fontId="1" fillId="0" borderId="0" xfId="23" applyNumberFormat="1" applyFont="1" applyFill="1" applyBorder="1" applyAlignment="1" applyProtection="1">
      <alignment vertical="center" wrapText="1"/>
      <protection locked="0"/>
    </xf>
    <xf numFmtId="0" fontId="10" fillId="0" borderId="0" xfId="23" applyFont="1" applyProtection="1">
      <protection locked="0"/>
    </xf>
    <xf numFmtId="0" fontId="9" fillId="0" borderId="0" xfId="23" applyFont="1" applyAlignment="1" applyProtection="1">
      <alignment horizontal="left" vertical="center"/>
      <protection locked="0"/>
    </xf>
    <xf numFmtId="0" fontId="9" fillId="0" borderId="0" xfId="23" applyFont="1" applyProtection="1">
      <protection locked="0"/>
    </xf>
    <xf numFmtId="0" fontId="9" fillId="0" borderId="0" xfId="23" applyFont="1" applyFill="1" applyAlignment="1" applyProtection="1">
      <alignment horizontal="left" vertical="center"/>
      <protection locked="0"/>
    </xf>
    <xf numFmtId="0" fontId="10" fillId="3" borderId="1" xfId="23" applyFont="1" applyFill="1" applyBorder="1" applyAlignment="1" applyProtection="1">
      <alignment horizontal="center" vertical="center" wrapText="1"/>
      <protection locked="0"/>
    </xf>
    <xf numFmtId="0" fontId="10" fillId="2" borderId="1" xfId="23" applyFont="1" applyFill="1" applyBorder="1" applyAlignment="1" applyProtection="1">
      <alignment horizontal="center" vertical="center" wrapText="1"/>
      <protection locked="0"/>
    </xf>
    <xf numFmtId="0" fontId="10" fillId="2" borderId="2" xfId="23" applyFont="1" applyFill="1" applyBorder="1" applyAlignment="1" applyProtection="1">
      <alignment horizontal="center" vertical="center" wrapText="1"/>
      <protection locked="0"/>
    </xf>
    <xf numFmtId="0" fontId="10" fillId="0" borderId="0" xfId="23" applyFont="1" applyFill="1" applyBorder="1" applyAlignment="1" applyProtection="1">
      <alignment horizontal="center" vertical="center" wrapText="1"/>
      <protection locked="0"/>
    </xf>
    <xf numFmtId="0" fontId="9" fillId="0" borderId="0" xfId="23" applyFont="1" applyFill="1" applyProtection="1">
      <protection locked="0"/>
    </xf>
    <xf numFmtId="165" fontId="9" fillId="0" borderId="0" xfId="0" applyNumberFormat="1" applyFont="1" applyFill="1" applyBorder="1" applyAlignment="1" applyProtection="1">
      <alignment horizontal="justify" vertical="center" wrapText="1"/>
    </xf>
    <xf numFmtId="0" fontId="9" fillId="0" borderId="0" xfId="23" applyFont="1" applyBorder="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justify" vertical="center" wrapText="1"/>
    </xf>
    <xf numFmtId="0" fontId="3" fillId="0" borderId="10" xfId="23" applyFont="1" applyFill="1" applyBorder="1" applyAlignment="1" applyProtection="1">
      <alignment horizontal="left" vertical="center"/>
      <protection locked="0"/>
    </xf>
    <xf numFmtId="165" fontId="9" fillId="0" borderId="11" xfId="0" applyNumberFormat="1" applyFont="1" applyFill="1" applyBorder="1" applyAlignment="1" applyProtection="1">
      <alignment horizontal="justify"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165" fontId="9" fillId="0" borderId="3" xfId="0" applyNumberFormat="1" applyFont="1" applyFill="1" applyBorder="1" applyAlignment="1" applyProtection="1">
      <alignment horizontal="justify" vertical="center" wrapText="1"/>
    </xf>
    <xf numFmtId="165" fontId="9" fillId="0" borderId="1" xfId="0" applyNumberFormat="1" applyFont="1" applyFill="1" applyBorder="1" applyAlignment="1" applyProtection="1">
      <alignment horizontal="justify" vertical="center" wrapText="1"/>
    </xf>
    <xf numFmtId="165" fontId="9" fillId="0" borderId="2" xfId="0" applyNumberFormat="1" applyFont="1" applyFill="1" applyBorder="1" applyAlignment="1" applyProtection="1">
      <alignment horizontal="justify" vertical="center" wrapText="1"/>
    </xf>
    <xf numFmtId="168" fontId="3" fillId="0" borderId="0" xfId="23" applyNumberFormat="1" applyFont="1" applyFill="1" applyBorder="1" applyProtection="1">
      <protection locked="0"/>
    </xf>
    <xf numFmtId="44" fontId="1" fillId="0" borderId="0" xfId="23" applyNumberFormat="1" applyFont="1" applyFill="1" applyBorder="1" applyAlignment="1" applyProtection="1">
      <alignment vertical="center" wrapText="1"/>
      <protection locked="0"/>
    </xf>
    <xf numFmtId="0" fontId="29" fillId="0" borderId="0" xfId="0" applyFont="1" applyFill="1"/>
    <xf numFmtId="0" fontId="30" fillId="0" borderId="0" xfId="23" applyFont="1" applyFill="1" applyAlignment="1" applyProtection="1">
      <alignment horizontal="right" vertical="center"/>
      <protection locked="0"/>
    </xf>
    <xf numFmtId="172" fontId="12" fillId="0" borderId="1" xfId="3" applyNumberFormat="1" applyFont="1" applyFill="1" applyBorder="1"/>
    <xf numFmtId="0" fontId="11" fillId="4" borderId="1" xfId="0" applyFont="1" applyFill="1" applyBorder="1" applyAlignment="1">
      <alignment horizontal="center" vertical="center" wrapText="1"/>
    </xf>
    <xf numFmtId="172" fontId="11" fillId="4" borderId="1" xfId="3" applyNumberFormat="1" applyFont="1" applyFill="1" applyBorder="1" applyAlignment="1">
      <alignment horizontal="center" vertical="center" wrapText="1"/>
    </xf>
    <xf numFmtId="0" fontId="11" fillId="4" borderId="1" xfId="0" applyFont="1" applyFill="1" applyBorder="1"/>
    <xf numFmtId="172" fontId="11" fillId="4" borderId="1" xfId="3" applyNumberFormat="1" applyFont="1" applyFill="1" applyBorder="1"/>
    <xf numFmtId="0" fontId="11" fillId="4" borderId="1" xfId="0" applyFont="1" applyFill="1" applyBorder="1" applyAlignment="1">
      <alignment horizontal="justify" vertical="center" wrapText="1"/>
    </xf>
    <xf numFmtId="0" fontId="10" fillId="0" borderId="12" xfId="23" applyFont="1" applyFill="1" applyBorder="1" applyAlignment="1" applyProtection="1">
      <alignment horizontal="center" vertical="center" wrapText="1"/>
      <protection locked="0"/>
    </xf>
    <xf numFmtId="165" fontId="9" fillId="0" borderId="13" xfId="0" applyNumberFormat="1" applyFont="1" applyFill="1" applyBorder="1" applyAlignment="1" applyProtection="1">
      <alignment horizontal="justify" vertical="center" wrapText="1"/>
    </xf>
    <xf numFmtId="0" fontId="9" fillId="0" borderId="11" xfId="23" applyFont="1" applyBorder="1" applyAlignment="1" applyProtection="1">
      <alignment horizontal="left" vertical="center"/>
      <protection locked="0"/>
    </xf>
    <xf numFmtId="0" fontId="9" fillId="0" borderId="14" xfId="23" applyFont="1" applyBorder="1" applyAlignment="1" applyProtection="1">
      <alignment horizontal="left" vertical="center"/>
      <protection locked="0"/>
    </xf>
    <xf numFmtId="168" fontId="17" fillId="4" borderId="1" xfId="23" applyNumberFormat="1" applyFont="1" applyFill="1" applyBorder="1" applyAlignment="1">
      <alignment horizontal="center" vertical="center" wrapText="1"/>
    </xf>
    <xf numFmtId="0" fontId="10" fillId="0" borderId="1" xfId="23" applyFont="1" applyFill="1" applyBorder="1" applyAlignment="1" applyProtection="1">
      <alignment horizontal="left" vertical="center"/>
      <protection locked="0"/>
    </xf>
    <xf numFmtId="0" fontId="11" fillId="0" borderId="1" xfId="0" applyNumberFormat="1"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1" fontId="12" fillId="0" borderId="1" xfId="23" applyNumberFormat="1" applyFont="1" applyFill="1" applyBorder="1" applyAlignment="1" applyProtection="1">
      <alignment horizontal="center" vertical="center" wrapText="1"/>
    </xf>
    <xf numFmtId="0" fontId="12" fillId="0" borderId="1" xfId="23"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173" fontId="12" fillId="0" borderId="1" xfId="0" applyNumberFormat="1" applyFont="1" applyFill="1" applyBorder="1" applyAlignment="1" applyProtection="1">
      <alignment horizontal="right" vertical="center" wrapText="1"/>
      <protection locked="0"/>
    </xf>
    <xf numFmtId="166"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left" vertical="center" wrapText="1"/>
    </xf>
    <xf numFmtId="166" fontId="31" fillId="0" borderId="1" xfId="0" applyNumberFormat="1" applyFont="1" applyFill="1" applyBorder="1" applyAlignment="1" applyProtection="1">
      <alignment vertical="center" wrapText="1"/>
      <protection locked="0"/>
    </xf>
    <xf numFmtId="173" fontId="12" fillId="0" borderId="1" xfId="0" applyNumberFormat="1" applyFont="1" applyFill="1" applyBorder="1" applyAlignment="1" applyProtection="1">
      <alignment vertical="center" wrapText="1"/>
      <protection locked="0"/>
    </xf>
    <xf numFmtId="166" fontId="12" fillId="0" borderId="1" xfId="0" applyNumberFormat="1" applyFont="1" applyFill="1" applyBorder="1" applyAlignment="1" applyProtection="1">
      <alignment vertical="center" wrapText="1"/>
      <protection locked="0"/>
    </xf>
    <xf numFmtId="0" fontId="12" fillId="0" borderId="1" xfId="0" applyNumberFormat="1" applyFont="1" applyFill="1" applyBorder="1" applyAlignment="1" applyProtection="1">
      <alignment horizontal="justify" vertical="center" wrapText="1"/>
    </xf>
    <xf numFmtId="9" fontId="12" fillId="0" borderId="1" xfId="23"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12" fillId="0" borderId="1" xfId="23" applyFont="1" applyFill="1" applyBorder="1" applyAlignment="1" applyProtection="1">
      <alignment horizontal="left" vertical="center" wrapText="1"/>
    </xf>
    <xf numFmtId="173" fontId="31" fillId="0" borderId="1" xfId="0" applyNumberFormat="1" applyFont="1" applyFill="1" applyBorder="1" applyAlignment="1" applyProtection="1">
      <alignment horizontal="right" vertical="center" wrapText="1"/>
      <protection locked="0"/>
    </xf>
    <xf numFmtId="0" fontId="12"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165" fontId="12" fillId="0" borderId="1" xfId="0" applyNumberFormat="1" applyFont="1" applyFill="1" applyBorder="1" applyAlignment="1" applyProtection="1">
      <alignment vertical="center" wrapText="1"/>
    </xf>
    <xf numFmtId="173" fontId="31" fillId="0" borderId="1" xfId="0" applyNumberFormat="1" applyFont="1" applyFill="1" applyBorder="1" applyAlignment="1" applyProtection="1">
      <alignment vertical="center" wrapText="1"/>
      <protection locked="0"/>
    </xf>
    <xf numFmtId="0" fontId="32" fillId="0" borderId="1" xfId="0" applyNumberFormat="1" applyFont="1" applyFill="1" applyBorder="1" applyAlignment="1" applyProtection="1">
      <alignment horizontal="justify" vertical="center" wrapText="1"/>
    </xf>
    <xf numFmtId="0" fontId="32" fillId="0" borderId="1" xfId="0" applyFont="1" applyFill="1" applyBorder="1" applyAlignment="1" applyProtection="1">
      <alignment horizontal="justify" vertical="center" wrapText="1"/>
    </xf>
    <xf numFmtId="1" fontId="32" fillId="0" borderId="1" xfId="23" applyNumberFormat="1" applyFont="1" applyFill="1" applyBorder="1" applyAlignment="1" applyProtection="1">
      <alignment horizontal="center" vertical="center" wrapText="1"/>
    </xf>
    <xf numFmtId="166" fontId="11" fillId="0" borderId="1" xfId="0" applyNumberFormat="1" applyFont="1" applyFill="1" applyBorder="1" applyAlignment="1" applyProtection="1">
      <alignment horizontal="right" vertical="center" wrapText="1"/>
      <protection locked="0"/>
    </xf>
    <xf numFmtId="3" fontId="12" fillId="0" borderId="1" xfId="0" applyNumberFormat="1" applyFont="1" applyFill="1" applyBorder="1" applyAlignment="1" applyProtection="1">
      <alignment horizontal="center" vertical="center" wrapText="1"/>
    </xf>
    <xf numFmtId="166" fontId="12" fillId="0" borderId="1" xfId="23"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11" fillId="0" borderId="1" xfId="23" applyFont="1" applyFill="1" applyBorder="1" applyAlignment="1" applyProtection="1">
      <alignment horizontal="center" vertical="center" wrapText="1"/>
    </xf>
    <xf numFmtId="9" fontId="11" fillId="0" borderId="1" xfId="23" applyNumberFormat="1" applyFont="1" applyFill="1" applyBorder="1" applyAlignment="1" applyProtection="1">
      <alignment horizontal="center" vertical="center" wrapText="1"/>
    </xf>
    <xf numFmtId="168" fontId="15" fillId="4" borderId="1" xfId="23" applyNumberFormat="1" applyFont="1" applyFill="1" applyBorder="1" applyAlignment="1">
      <alignment horizontal="center" vertical="center" wrapText="1"/>
    </xf>
    <xf numFmtId="0" fontId="33" fillId="0" borderId="0" xfId="0" applyFont="1"/>
    <xf numFmtId="0" fontId="19" fillId="0" borderId="1" xfId="23" applyFont="1" applyFill="1" applyBorder="1" applyAlignment="1" applyProtection="1">
      <alignment horizontal="left" vertical="center"/>
      <protection locked="0"/>
    </xf>
    <xf numFmtId="0" fontId="34" fillId="5" borderId="1" xfId="23" applyFont="1" applyFill="1" applyBorder="1" applyAlignment="1" applyProtection="1">
      <alignment vertical="center"/>
      <protection locked="0"/>
    </xf>
    <xf numFmtId="0" fontId="19" fillId="6" borderId="1" xfId="23" applyFont="1" applyFill="1" applyBorder="1" applyAlignment="1" applyProtection="1">
      <alignment vertical="center"/>
      <protection locked="0"/>
    </xf>
    <xf numFmtId="0" fontId="19" fillId="6" borderId="1" xfId="23" applyFont="1" applyFill="1" applyBorder="1" applyAlignment="1" applyProtection="1">
      <alignment horizontal="center" vertical="center"/>
      <protection locked="0"/>
    </xf>
    <xf numFmtId="0" fontId="19" fillId="6" borderId="1" xfId="23" applyFont="1" applyFill="1" applyBorder="1" applyAlignment="1" applyProtection="1">
      <alignment vertical="center" wrapText="1"/>
      <protection locked="0"/>
    </xf>
    <xf numFmtId="164" fontId="19" fillId="6" borderId="1" xfId="23" applyNumberFormat="1" applyFont="1" applyFill="1" applyBorder="1" applyAlignment="1" applyProtection="1">
      <alignment vertical="center" wrapText="1"/>
      <protection locked="0"/>
    </xf>
    <xf numFmtId="0" fontId="19" fillId="0" borderId="1" xfId="23" applyFont="1" applyFill="1" applyBorder="1" applyAlignment="1" applyProtection="1">
      <alignment horizontal="center" vertical="center" wrapText="1"/>
      <protection locked="0"/>
    </xf>
    <xf numFmtId="0" fontId="35" fillId="7" borderId="1" xfId="23" applyFont="1" applyFill="1" applyBorder="1" applyAlignment="1" applyProtection="1">
      <alignment horizontal="center" vertical="center" wrapText="1"/>
      <protection locked="0"/>
    </xf>
    <xf numFmtId="164" fontId="19" fillId="6" borderId="1" xfId="23"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65" fontId="20" fillId="0" borderId="1" xfId="0" applyNumberFormat="1" applyFont="1" applyFill="1" applyBorder="1" applyAlignment="1" applyProtection="1">
      <alignment horizontal="justify" vertical="center" wrapText="1"/>
    </xf>
    <xf numFmtId="3" fontId="20" fillId="0" borderId="1" xfId="0" applyNumberFormat="1" applyFont="1" applyFill="1" applyBorder="1" applyAlignment="1" applyProtection="1">
      <alignment horizontal="center" vertical="center" wrapText="1"/>
    </xf>
    <xf numFmtId="166" fontId="19" fillId="0" borderId="1" xfId="0" applyNumberFormat="1" applyFont="1" applyFill="1" applyBorder="1" applyAlignment="1" applyProtection="1">
      <alignment horizontal="right" vertical="center" wrapText="1"/>
      <protection locked="0"/>
    </xf>
    <xf numFmtId="166" fontId="20" fillId="0" borderId="1" xfId="0" applyNumberFormat="1" applyFont="1" applyFill="1" applyBorder="1" applyAlignment="1" applyProtection="1">
      <alignment horizontal="right" vertical="center" wrapText="1"/>
      <protection locked="0"/>
    </xf>
    <xf numFmtId="166" fontId="20" fillId="0" borderId="1" xfId="0" applyNumberFormat="1" applyFont="1" applyFill="1" applyBorder="1" applyAlignment="1" applyProtection="1">
      <alignment horizontal="center" vertical="center" wrapText="1"/>
      <protection locked="0"/>
    </xf>
    <xf numFmtId="0" fontId="19" fillId="4" borderId="1" xfId="23" applyFont="1" applyFill="1" applyBorder="1" applyAlignment="1" applyProtection="1">
      <alignment horizontal="center" vertical="center" wrapText="1"/>
      <protection locked="0"/>
    </xf>
    <xf numFmtId="164" fontId="19" fillId="4" borderId="1" xfId="23"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0" fontId="19" fillId="0" borderId="1" xfId="23" applyFont="1" applyFill="1" applyBorder="1" applyAlignment="1" applyProtection="1">
      <alignment horizontal="center" vertical="center" wrapText="1"/>
    </xf>
    <xf numFmtId="0" fontId="20" fillId="0" borderId="1" xfId="23" applyFont="1" applyFill="1" applyBorder="1" applyAlignment="1" applyProtection="1">
      <alignment horizontal="left" vertical="center" wrapText="1"/>
    </xf>
    <xf numFmtId="166" fontId="36" fillId="0" borderId="1" xfId="0" applyNumberFormat="1" applyFont="1" applyFill="1" applyBorder="1" applyAlignment="1" applyProtection="1">
      <alignment horizontal="right" vertical="center" wrapText="1"/>
      <protection locked="0"/>
    </xf>
    <xf numFmtId="0" fontId="35" fillId="4" borderId="1" xfId="23" applyFont="1" applyFill="1" applyBorder="1" applyAlignment="1" applyProtection="1">
      <alignment horizontal="left" vertical="center"/>
      <protection locked="0"/>
    </xf>
    <xf numFmtId="0" fontId="20" fillId="0" borderId="1" xfId="23" applyFont="1" applyFill="1" applyBorder="1" applyAlignment="1" applyProtection="1">
      <alignment horizontal="center" vertical="center" wrapText="1"/>
    </xf>
    <xf numFmtId="3" fontId="19" fillId="0" borderId="1" xfId="23" applyNumberFormat="1" applyFont="1" applyFill="1" applyBorder="1" applyAlignment="1" applyProtection="1">
      <alignment horizontal="center" vertical="center" wrapText="1"/>
      <protection locked="0"/>
    </xf>
    <xf numFmtId="0" fontId="19" fillId="4" borderId="1" xfId="23"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justify" vertical="center" wrapText="1"/>
    </xf>
    <xf numFmtId="0" fontId="20" fillId="0" borderId="1" xfId="0" applyFont="1" applyFill="1" applyBorder="1" applyAlignment="1" applyProtection="1">
      <alignment horizontal="justify" vertical="center" wrapText="1"/>
    </xf>
    <xf numFmtId="44" fontId="19" fillId="0" borderId="1" xfId="0" applyNumberFormat="1" applyFont="1" applyFill="1" applyBorder="1" applyAlignment="1" applyProtection="1">
      <alignment horizontal="justify" vertical="center" wrapText="1"/>
    </xf>
    <xf numFmtId="44" fontId="20" fillId="0" borderId="1" xfId="11" applyFont="1" applyFill="1" applyBorder="1" applyAlignment="1" applyProtection="1">
      <alignment horizontal="justify" vertical="center" wrapText="1"/>
    </xf>
    <xf numFmtId="166" fontId="20" fillId="0" borderId="1" xfId="0" applyNumberFormat="1" applyFont="1" applyFill="1" applyBorder="1" applyAlignment="1" applyProtection="1">
      <alignment vertical="center" wrapText="1"/>
      <protection locked="0"/>
    </xf>
    <xf numFmtId="166" fontId="19" fillId="0" borderId="1" xfId="0" applyNumberFormat="1" applyFont="1" applyFill="1" applyBorder="1" applyAlignment="1" applyProtection="1">
      <alignment vertical="center" wrapText="1"/>
      <protection locked="0"/>
    </xf>
    <xf numFmtId="165" fontId="20" fillId="0" borderId="1" xfId="0" applyNumberFormat="1" applyFont="1" applyFill="1" applyBorder="1" applyAlignment="1" applyProtection="1">
      <alignment vertical="center" wrapText="1"/>
    </xf>
    <xf numFmtId="3" fontId="19" fillId="0" borderId="1" xfId="0" applyNumberFormat="1" applyFont="1" applyFill="1" applyBorder="1" applyAlignment="1" applyProtection="1">
      <alignment horizontal="center" vertical="center" wrapText="1"/>
    </xf>
    <xf numFmtId="3" fontId="20" fillId="0" borderId="1" xfId="0" applyNumberFormat="1" applyFont="1" applyFill="1" applyBorder="1" applyAlignment="1" applyProtection="1">
      <alignment vertical="center" wrapText="1"/>
    </xf>
    <xf numFmtId="168" fontId="10" fillId="4" borderId="1" xfId="23" applyNumberFormat="1" applyFont="1" applyFill="1" applyBorder="1" applyAlignment="1">
      <alignment horizontal="center" vertical="center" wrapText="1"/>
    </xf>
    <xf numFmtId="9" fontId="12" fillId="0" borderId="1" xfId="0" applyNumberFormat="1" applyFont="1" applyFill="1" applyBorder="1" applyAlignment="1" applyProtection="1">
      <alignment horizontal="center" vertical="center" wrapText="1"/>
    </xf>
    <xf numFmtId="9" fontId="11" fillId="0" borderId="1" xfId="29" applyFont="1" applyFill="1" applyBorder="1" applyAlignment="1" applyProtection="1">
      <alignment horizontal="center" vertical="center" wrapText="1"/>
    </xf>
    <xf numFmtId="0" fontId="10" fillId="0" borderId="1" xfId="23" applyFont="1" applyFill="1" applyBorder="1" applyAlignment="1" applyProtection="1">
      <alignment vertical="center"/>
      <protection locked="0"/>
    </xf>
    <xf numFmtId="0" fontId="37" fillId="0" borderId="1" xfId="23" applyFont="1" applyFill="1" applyBorder="1" applyAlignment="1" applyProtection="1">
      <alignment vertical="center"/>
      <protection locked="0"/>
    </xf>
    <xf numFmtId="0" fontId="38" fillId="0" borderId="1" xfId="23" applyFont="1" applyFill="1" applyBorder="1" applyAlignment="1" applyProtection="1">
      <alignment vertical="center"/>
      <protection locked="0"/>
    </xf>
    <xf numFmtId="0" fontId="12" fillId="4" borderId="1" xfId="23" applyFont="1" applyFill="1" applyBorder="1" applyAlignment="1" applyProtection="1">
      <alignment horizontal="left" vertical="center"/>
      <protection locked="0"/>
    </xf>
    <xf numFmtId="0" fontId="11" fillId="4" borderId="1" xfId="23" applyFont="1" applyFill="1" applyBorder="1" applyAlignment="1" applyProtection="1">
      <alignment horizontal="justify" vertical="center" wrapText="1"/>
      <protection locked="0"/>
    </xf>
    <xf numFmtId="3" fontId="11" fillId="0" borderId="1" xfId="0" applyNumberFormat="1" applyFont="1" applyFill="1" applyBorder="1" applyAlignment="1" applyProtection="1">
      <alignment horizontal="center" vertical="center" wrapText="1"/>
    </xf>
    <xf numFmtId="166" fontId="10" fillId="4" borderId="1" xfId="23"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vertical="center" wrapText="1"/>
      <protection locked="0"/>
    </xf>
    <xf numFmtId="164" fontId="12" fillId="0" borderId="1" xfId="23" applyNumberFormat="1" applyFont="1" applyFill="1" applyBorder="1" applyAlignment="1" applyProtection="1">
      <alignment vertical="center" wrapText="1"/>
      <protection locked="0"/>
    </xf>
    <xf numFmtId="9" fontId="12" fillId="0" borderId="1" xfId="29" applyFont="1" applyFill="1" applyBorder="1" applyAlignment="1" applyProtection="1">
      <alignment horizontal="center" vertical="center" wrapText="1"/>
    </xf>
    <xf numFmtId="0" fontId="12" fillId="8" borderId="1" xfId="35" applyFont="1" applyFill="1" applyBorder="1" applyAlignment="1" applyProtection="1">
      <alignment horizontal="center" vertical="center" wrapText="1"/>
    </xf>
    <xf numFmtId="166" fontId="31" fillId="0" borderId="1" xfId="0" applyNumberFormat="1" applyFont="1" applyFill="1" applyBorder="1" applyAlignment="1" applyProtection="1">
      <alignment horizontal="right" vertical="center" wrapText="1"/>
      <protection locked="0"/>
    </xf>
    <xf numFmtId="0" fontId="12" fillId="8" borderId="1" xfId="0" applyFont="1" applyFill="1" applyBorder="1" applyAlignment="1" applyProtection="1">
      <alignment horizontal="center" vertical="center" wrapText="1"/>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166" fontId="32" fillId="0" borderId="1" xfId="23" applyNumberFormat="1" applyFont="1" applyFill="1" applyBorder="1" applyAlignment="1" applyProtection="1">
      <alignment horizontal="right" vertical="center" wrapText="1"/>
      <protection locked="0"/>
    </xf>
    <xf numFmtId="3" fontId="11" fillId="4" borderId="1" xfId="23" applyNumberFormat="1" applyFont="1" applyFill="1" applyBorder="1" applyAlignment="1" applyProtection="1">
      <alignment horizontal="center" vertical="center" wrapText="1"/>
      <protection locked="0"/>
    </xf>
    <xf numFmtId="165" fontId="12" fillId="9" borderId="1" xfId="0" applyNumberFormat="1" applyFont="1" applyFill="1" applyBorder="1" applyAlignment="1" applyProtection="1">
      <alignment horizontal="justify" vertical="center" wrapText="1"/>
    </xf>
    <xf numFmtId="1" fontId="11" fillId="0" borderId="1" xfId="0" applyNumberFormat="1"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wrapText="1"/>
    </xf>
    <xf numFmtId="168" fontId="15" fillId="0" borderId="1" xfId="23" applyNumberFormat="1" applyFont="1" applyFill="1" applyBorder="1" applyAlignment="1">
      <alignment horizontal="center" vertical="center" wrapText="1"/>
    </xf>
    <xf numFmtId="0" fontId="11" fillId="0" borderId="1" xfId="23" applyFont="1" applyFill="1" applyBorder="1" applyAlignment="1" applyProtection="1">
      <alignment horizontal="center" vertical="center" wrapText="1"/>
      <protection locked="0"/>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0" fontId="12" fillId="0" borderId="1" xfId="23"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1" fontId="11" fillId="0" borderId="1" xfId="33" applyNumberFormat="1" applyFont="1" applyFill="1" applyBorder="1" applyAlignment="1" applyProtection="1">
      <alignment horizontal="center" vertical="center" wrapText="1"/>
    </xf>
    <xf numFmtId="1" fontId="11" fillId="9" borderId="1" xfId="33" applyNumberFormat="1" applyFont="1" applyFill="1" applyBorder="1" applyAlignment="1" applyProtection="1">
      <alignment horizontal="center" vertical="center" wrapText="1"/>
    </xf>
    <xf numFmtId="9" fontId="11" fillId="0" borderId="1" xfId="33" applyFont="1" applyFill="1" applyBorder="1" applyAlignment="1" applyProtection="1">
      <alignment horizontal="center" vertical="center" wrapText="1"/>
    </xf>
    <xf numFmtId="0" fontId="39" fillId="0" borderId="0" xfId="0" applyFont="1"/>
    <xf numFmtId="0" fontId="40" fillId="0" borderId="1" xfId="0" applyFont="1" applyBorder="1" applyAlignment="1">
      <alignment horizontal="center"/>
    </xf>
    <xf numFmtId="168" fontId="15" fillId="4" borderId="1" xfId="23" applyNumberFormat="1" applyFont="1" applyFill="1" applyBorder="1" applyAlignment="1">
      <alignment horizontal="right" vertical="center" wrapText="1"/>
    </xf>
    <xf numFmtId="172" fontId="41" fillId="0" borderId="1" xfId="0" applyNumberFormat="1" applyFont="1" applyBorder="1"/>
    <xf numFmtId="0" fontId="13" fillId="4" borderId="1" xfId="0" applyFont="1" applyFill="1" applyBorder="1" applyAlignment="1">
      <alignment horizontal="left" vertical="center" wrapText="1"/>
    </xf>
    <xf numFmtId="166" fontId="0" fillId="0" borderId="0" xfId="0" applyNumberFormat="1"/>
    <xf numFmtId="168" fontId="0" fillId="0" borderId="0" xfId="0" applyNumberFormat="1"/>
    <xf numFmtId="172" fontId="10" fillId="0" borderId="1" xfId="3" applyNumberFormat="1" applyFont="1" applyFill="1" applyBorder="1"/>
    <xf numFmtId="172" fontId="21" fillId="0" borderId="1" xfId="3" applyNumberFormat="1" applyFont="1" applyFill="1" applyBorder="1"/>
    <xf numFmtId="172" fontId="28" fillId="0" borderId="1" xfId="0" applyNumberFormat="1" applyFont="1" applyBorder="1"/>
    <xf numFmtId="0" fontId="10" fillId="0" borderId="2" xfId="23" applyFont="1" applyFill="1" applyBorder="1" applyAlignment="1" applyProtection="1">
      <alignment vertical="center"/>
      <protection locked="0"/>
    </xf>
    <xf numFmtId="0" fontId="10" fillId="0" borderId="4" xfId="23" applyFont="1" applyFill="1" applyBorder="1" applyAlignment="1" applyProtection="1">
      <alignment vertical="center"/>
      <protection locked="0"/>
    </xf>
    <xf numFmtId="0" fontId="10" fillId="0" borderId="5" xfId="23" applyFont="1" applyFill="1" applyBorder="1" applyAlignment="1" applyProtection="1">
      <alignment vertical="center"/>
      <protection locked="0"/>
    </xf>
    <xf numFmtId="4" fontId="10" fillId="4" borderId="1" xfId="23" applyNumberFormat="1" applyFont="1" applyFill="1" applyBorder="1" applyAlignment="1">
      <alignment horizontal="right" vertical="center" wrapText="1"/>
    </xf>
    <xf numFmtId="168" fontId="10" fillId="4" borderId="1" xfId="23" applyNumberFormat="1" applyFont="1" applyFill="1" applyBorder="1" applyAlignment="1">
      <alignment horizontal="right" vertical="center" wrapText="1"/>
    </xf>
    <xf numFmtId="172" fontId="10" fillId="4" borderId="1" xfId="3" applyNumberFormat="1" applyFont="1" applyFill="1" applyBorder="1"/>
    <xf numFmtId="168" fontId="17" fillId="4" borderId="1" xfId="23" applyNumberFormat="1" applyFont="1" applyFill="1" applyBorder="1" applyAlignment="1">
      <alignment horizontal="right" vertical="center" wrapText="1"/>
    </xf>
    <xf numFmtId="0" fontId="2" fillId="0" borderId="0" xfId="23" applyFont="1" applyFill="1" applyAlignment="1" applyProtection="1">
      <alignment horizontal="left" vertical="center"/>
      <protection locked="0"/>
    </xf>
    <xf numFmtId="3" fontId="12" fillId="0" borderId="15" xfId="0" applyNumberFormat="1" applyFont="1" applyFill="1" applyBorder="1" applyAlignment="1" applyProtection="1">
      <alignment horizontal="center" vertical="center" wrapText="1"/>
    </xf>
    <xf numFmtId="9" fontId="11" fillId="9" borderId="1" xfId="23" applyNumberFormat="1" applyFont="1" applyFill="1" applyBorder="1" applyAlignment="1" applyProtection="1">
      <alignment horizontal="center" vertical="center" wrapText="1"/>
    </xf>
    <xf numFmtId="166" fontId="31" fillId="9" borderId="1" xfId="0" applyNumberFormat="1" applyFont="1" applyFill="1" applyBorder="1" applyAlignment="1" applyProtection="1">
      <alignment vertical="center" wrapText="1"/>
      <protection locked="0"/>
    </xf>
    <xf numFmtId="173" fontId="31" fillId="9" borderId="1" xfId="0" applyNumberFormat="1" applyFont="1" applyFill="1" applyBorder="1" applyAlignment="1" applyProtection="1">
      <alignment horizontal="right" vertical="center" wrapText="1"/>
      <protection locked="0"/>
    </xf>
    <xf numFmtId="44" fontId="27" fillId="0" borderId="0" xfId="11" applyFont="1"/>
    <xf numFmtId="166" fontId="12" fillId="0" borderId="1" xfId="24" applyNumberFormat="1" applyFont="1" applyFill="1" applyBorder="1" applyAlignment="1" applyProtection="1">
      <alignment horizontal="right" vertical="center" wrapText="1"/>
      <protection locked="0"/>
    </xf>
    <xf numFmtId="175" fontId="27" fillId="0" borderId="0" xfId="3" applyNumberFormat="1" applyFont="1"/>
    <xf numFmtId="175" fontId="0" fillId="0" borderId="0" xfId="0" applyNumberFormat="1"/>
    <xf numFmtId="175" fontId="27" fillId="10" borderId="0" xfId="3" applyNumberFormat="1" applyFont="1" applyFill="1"/>
    <xf numFmtId="174" fontId="0" fillId="0" borderId="0" xfId="0" applyNumberFormat="1"/>
    <xf numFmtId="0" fontId="25" fillId="0" borderId="0" xfId="23" applyFont="1" applyFill="1" applyBorder="1" applyProtection="1">
      <protection locked="0"/>
    </xf>
    <xf numFmtId="0" fontId="33" fillId="9" borderId="0" xfId="0" applyFont="1" applyFill="1"/>
    <xf numFmtId="44" fontId="33" fillId="0" borderId="0" xfId="0" applyNumberFormat="1" applyFont="1"/>
    <xf numFmtId="43" fontId="28" fillId="0" borderId="1" xfId="0" applyNumberFormat="1" applyFont="1" applyBorder="1"/>
    <xf numFmtId="9" fontId="0" fillId="0" borderId="1" xfId="0" applyNumberFormat="1" applyBorder="1" applyAlignment="1">
      <alignment horizontal="center"/>
    </xf>
    <xf numFmtId="44" fontId="28" fillId="0" borderId="1" xfId="11" applyFont="1" applyBorder="1"/>
    <xf numFmtId="0" fontId="28" fillId="0" borderId="1" xfId="0" applyFont="1" applyBorder="1"/>
    <xf numFmtId="0" fontId="0" fillId="0" borderId="1" xfId="0" applyBorder="1"/>
    <xf numFmtId="164" fontId="19" fillId="4" borderId="1" xfId="23" applyNumberFormat="1"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3" fontId="32" fillId="0" borderId="0" xfId="0" applyNumberFormat="1" applyFont="1"/>
    <xf numFmtId="0" fontId="32" fillId="0" borderId="0" xfId="0" applyFont="1" applyAlignment="1">
      <alignment wrapText="1"/>
    </xf>
    <xf numFmtId="1" fontId="12" fillId="9" borderId="1" xfId="23" applyNumberFormat="1" applyFont="1" applyFill="1" applyBorder="1" applyAlignment="1" applyProtection="1">
      <alignment horizontal="center" vertical="center" wrapText="1"/>
    </xf>
    <xf numFmtId="172" fontId="12" fillId="9" borderId="1" xfId="3" applyNumberFormat="1" applyFont="1" applyFill="1" applyBorder="1"/>
    <xf numFmtId="0" fontId="0" fillId="9" borderId="0" xfId="0" applyFill="1"/>
    <xf numFmtId="165" fontId="12" fillId="0" borderId="5" xfId="0" applyNumberFormat="1" applyFont="1" applyFill="1" applyBorder="1" applyAlignment="1" applyProtection="1">
      <alignment horizontal="justify" vertical="center" wrapText="1"/>
    </xf>
    <xf numFmtId="0" fontId="11" fillId="0" borderId="16" xfId="0" applyFont="1" applyFill="1" applyBorder="1" applyAlignment="1" applyProtection="1">
      <alignment horizontal="center" vertical="center" wrapText="1"/>
    </xf>
    <xf numFmtId="165" fontId="12" fillId="0" borderId="0" xfId="0" applyNumberFormat="1" applyFont="1" applyFill="1" applyBorder="1" applyAlignment="1" applyProtection="1">
      <alignment vertical="center" wrapText="1"/>
    </xf>
    <xf numFmtId="0" fontId="0" fillId="0" borderId="0" xfId="0" applyBorder="1"/>
    <xf numFmtId="165" fontId="12" fillId="9" borderId="1" xfId="0" applyNumberFormat="1" applyFont="1" applyFill="1" applyBorder="1" applyAlignment="1" applyProtection="1">
      <alignment horizontal="left" vertical="center" wrapText="1"/>
    </xf>
    <xf numFmtId="165" fontId="12" fillId="10" borderId="1" xfId="0" applyNumberFormat="1" applyFont="1" applyFill="1" applyBorder="1" applyAlignment="1" applyProtection="1">
      <alignment horizontal="left" vertical="center" wrapText="1"/>
    </xf>
    <xf numFmtId="1" fontId="11" fillId="10" borderId="1" xfId="33" applyNumberFormat="1" applyFont="1" applyFill="1" applyBorder="1" applyAlignment="1" applyProtection="1">
      <alignment horizontal="center" vertical="center" wrapText="1"/>
    </xf>
    <xf numFmtId="165" fontId="20" fillId="10" borderId="1" xfId="0" applyNumberFormat="1" applyFont="1" applyFill="1" applyBorder="1" applyAlignment="1" applyProtection="1">
      <alignment horizontal="justify" vertical="center" wrapText="1"/>
    </xf>
    <xf numFmtId="0" fontId="12" fillId="10" borderId="1" xfId="0" applyNumberFormat="1" applyFont="1" applyFill="1" applyBorder="1" applyAlignment="1" applyProtection="1">
      <alignment horizontal="justify" vertical="center" wrapText="1"/>
    </xf>
    <xf numFmtId="0" fontId="12" fillId="10" borderId="1" xfId="23" applyFont="1" applyFill="1" applyBorder="1" applyAlignment="1" applyProtection="1">
      <alignment horizontal="center" vertical="center" wrapText="1"/>
    </xf>
    <xf numFmtId="0" fontId="12" fillId="9" borderId="1" xfId="23" applyFont="1" applyFill="1" applyBorder="1" applyAlignment="1" applyProtection="1">
      <alignment horizontal="center" vertical="center" wrapText="1"/>
    </xf>
    <xf numFmtId="165" fontId="12" fillId="10" borderId="1" xfId="0" applyNumberFormat="1" applyFont="1" applyFill="1" applyBorder="1" applyAlignment="1" applyProtection="1">
      <alignment horizontal="justify" vertical="center" wrapText="1"/>
    </xf>
    <xf numFmtId="9" fontId="12" fillId="10" borderId="1" xfId="23" applyNumberFormat="1" applyFont="1" applyFill="1" applyBorder="1" applyAlignment="1" applyProtection="1">
      <alignment horizontal="center" vertical="center" wrapText="1"/>
    </xf>
    <xf numFmtId="165" fontId="12" fillId="10" borderId="1" xfId="0" applyNumberFormat="1" applyFont="1" applyFill="1" applyBorder="1" applyAlignment="1" applyProtection="1">
      <alignment vertical="center" wrapText="1"/>
    </xf>
    <xf numFmtId="9" fontId="12" fillId="10" borderId="1" xfId="0" applyNumberFormat="1" applyFont="1" applyFill="1" applyBorder="1" applyAlignment="1" applyProtection="1">
      <alignment horizontal="center" vertical="center" wrapText="1"/>
    </xf>
    <xf numFmtId="165" fontId="12" fillId="10" borderId="1" xfId="0" applyNumberFormat="1" applyFont="1" applyFill="1" applyBorder="1" applyAlignment="1" applyProtection="1">
      <alignment horizontal="left" wrapText="1"/>
    </xf>
    <xf numFmtId="0" fontId="32" fillId="10" borderId="1" xfId="0" applyNumberFormat="1" applyFont="1" applyFill="1" applyBorder="1" applyAlignment="1" applyProtection="1">
      <alignment horizontal="justify" vertical="center" wrapText="1"/>
    </xf>
    <xf numFmtId="0" fontId="32" fillId="10" borderId="1" xfId="0" applyFont="1" applyFill="1" applyBorder="1" applyAlignment="1" applyProtection="1">
      <alignment horizontal="justify" vertical="center" wrapText="1"/>
    </xf>
    <xf numFmtId="0" fontId="12" fillId="10" borderId="1" xfId="0" applyFont="1" applyFill="1" applyBorder="1" applyAlignment="1" applyProtection="1">
      <alignment horizontal="justify" vertical="center" wrapText="1"/>
    </xf>
    <xf numFmtId="166" fontId="12" fillId="0" borderId="1" xfId="0" applyNumberFormat="1" applyFont="1" applyFill="1" applyBorder="1" applyAlignment="1" applyProtection="1">
      <alignment horizontal="right" vertical="center" wrapText="1"/>
      <protection locked="0"/>
    </xf>
    <xf numFmtId="9" fontId="11" fillId="0" borderId="1" xfId="23" applyNumberFormat="1"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23" applyFont="1" applyFill="1" applyBorder="1" applyAlignment="1" applyProtection="1">
      <alignment horizontal="center" vertical="center" wrapText="1"/>
    </xf>
    <xf numFmtId="166" fontId="31"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11" fillId="4" borderId="1" xfId="23"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0" fontId="40" fillId="0" borderId="1" xfId="0" applyFont="1" applyBorder="1" applyAlignment="1">
      <alignment horizontal="center"/>
    </xf>
    <xf numFmtId="9" fontId="32" fillId="0" borderId="1" xfId="0" applyNumberFormat="1" applyFont="1" applyFill="1" applyBorder="1" applyAlignment="1">
      <alignment horizontal="center" vertical="center"/>
    </xf>
    <xf numFmtId="0" fontId="12" fillId="0" borderId="1" xfId="23" applyFont="1" applyFill="1" applyBorder="1" applyAlignment="1" applyProtection="1">
      <alignment horizontal="center" vertical="center" wrapText="1"/>
    </xf>
    <xf numFmtId="0" fontId="32" fillId="0" borderId="1" xfId="0" applyFont="1" applyFill="1" applyBorder="1" applyAlignment="1">
      <alignment horizontal="center" vertical="center"/>
    </xf>
    <xf numFmtId="0" fontId="11" fillId="11" borderId="1" xfId="0" applyFont="1" applyFill="1" applyBorder="1" applyAlignment="1" applyProtection="1">
      <alignment horizontal="center" vertical="center" wrapText="1"/>
    </xf>
    <xf numFmtId="0" fontId="0" fillId="10" borderId="0" xfId="0" applyFill="1"/>
    <xf numFmtId="0" fontId="11" fillId="1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173"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173" fontId="31" fillId="9" borderId="1" xfId="0" applyNumberFormat="1" applyFont="1" applyFill="1" applyBorder="1" applyAlignment="1" applyProtection="1">
      <alignment horizontal="right" vertical="center" wrapText="1"/>
      <protection locked="0"/>
    </xf>
    <xf numFmtId="166" fontId="11" fillId="0" borderId="1" xfId="0" applyNumberFormat="1" applyFont="1" applyFill="1" applyBorder="1" applyAlignment="1" applyProtection="1">
      <alignment horizontal="right" vertical="center" wrapText="1"/>
      <protection locked="0"/>
    </xf>
    <xf numFmtId="173" fontId="31"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left" vertical="center" wrapText="1"/>
    </xf>
    <xf numFmtId="0" fontId="30" fillId="0" borderId="0" xfId="23" applyFont="1" applyFill="1" applyAlignment="1" applyProtection="1">
      <alignment horizontal="right" vertical="center"/>
      <protection locked="0"/>
    </xf>
    <xf numFmtId="0" fontId="12" fillId="0" borderId="1" xfId="0"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164" fontId="11" fillId="10" borderId="1" xfId="23" applyNumberFormat="1" applyFont="1" applyFill="1" applyBorder="1" applyAlignment="1" applyProtection="1">
      <alignment horizontal="center" vertical="center" wrapText="1"/>
      <protection locked="0"/>
    </xf>
    <xf numFmtId="0" fontId="46" fillId="0" borderId="1" xfId="0" applyFont="1" applyBorder="1" applyAlignment="1">
      <alignment horizontal="center"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166" fontId="31" fillId="0" borderId="1" xfId="0" applyNumberFormat="1"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0" fontId="10" fillId="0" borderId="1" xfId="23" applyFont="1" applyFill="1" applyBorder="1" applyAlignment="1" applyProtection="1">
      <alignment horizontal="left" vertical="center"/>
      <protection locked="0"/>
    </xf>
    <xf numFmtId="1" fontId="12" fillId="0" borderId="1" xfId="23" applyNumberFormat="1" applyFont="1" applyFill="1" applyBorder="1" applyAlignment="1" applyProtection="1">
      <alignment horizontal="center" vertical="center" wrapText="1"/>
    </xf>
    <xf numFmtId="166" fontId="11" fillId="0" borderId="1" xfId="0" applyNumberFormat="1" applyFont="1" applyFill="1" applyBorder="1" applyAlignment="1" applyProtection="1">
      <alignment horizontal="right" vertical="center" wrapText="1"/>
      <protection locked="0"/>
    </xf>
    <xf numFmtId="0" fontId="19" fillId="0" borderId="1" xfId="23" applyFont="1" applyFill="1" applyBorder="1" applyAlignment="1" applyProtection="1">
      <alignment horizontal="left" vertical="center"/>
      <protection locked="0"/>
    </xf>
    <xf numFmtId="165" fontId="12" fillId="9"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1" fontId="11" fillId="0" borderId="1" xfId="0" applyNumberFormat="1" applyFont="1" applyFill="1" applyBorder="1" applyAlignment="1" applyProtection="1">
      <alignment horizontal="center" vertical="center" wrapText="1"/>
    </xf>
    <xf numFmtId="1" fontId="11" fillId="0" borderId="1" xfId="33" applyNumberFormat="1" applyFont="1" applyFill="1" applyBorder="1" applyAlignment="1" applyProtection="1">
      <alignment horizontal="center" vertical="center" wrapText="1"/>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0" fontId="46" fillId="0" borderId="1" xfId="0" applyFont="1" applyBorder="1" applyAlignment="1">
      <alignment horizontal="center" vertical="center"/>
    </xf>
    <xf numFmtId="164" fontId="15" fillId="4" borderId="1" xfId="23" applyNumberFormat="1" applyFont="1" applyFill="1" applyBorder="1" applyAlignment="1" applyProtection="1">
      <alignment horizontal="center" vertical="center" wrapText="1"/>
      <protection locked="0"/>
    </xf>
    <xf numFmtId="0" fontId="20" fillId="14" borderId="1" xfId="23" applyFont="1" applyFill="1" applyBorder="1" applyAlignment="1" applyProtection="1">
      <alignment horizontal="center" vertical="center" wrapText="1"/>
    </xf>
    <xf numFmtId="0" fontId="49" fillId="14" borderId="0" xfId="23" applyFont="1" applyFill="1" applyBorder="1" applyProtection="1">
      <protection locked="0"/>
    </xf>
    <xf numFmtId="9" fontId="12" fillId="14" borderId="1" xfId="0" applyNumberFormat="1" applyFont="1" applyFill="1" applyBorder="1" applyAlignment="1" applyProtection="1">
      <alignment horizontal="center" vertical="center" wrapText="1"/>
    </xf>
    <xf numFmtId="0" fontId="39" fillId="14" borderId="0" xfId="0" applyFont="1" applyFill="1"/>
    <xf numFmtId="1" fontId="12" fillId="14" borderId="1" xfId="23" applyNumberFormat="1" applyFont="1" applyFill="1" applyBorder="1" applyAlignment="1" applyProtection="1">
      <alignment horizontal="center" vertical="center" wrapText="1"/>
    </xf>
    <xf numFmtId="0" fontId="12" fillId="14" borderId="1" xfId="23" applyFont="1" applyFill="1" applyBorder="1" applyAlignment="1" applyProtection="1">
      <alignment horizontal="center" vertical="center" wrapText="1"/>
    </xf>
    <xf numFmtId="0" fontId="12" fillId="14" borderId="1" xfId="23" applyFont="1" applyFill="1" applyBorder="1" applyAlignment="1" applyProtection="1">
      <alignment horizontal="center" vertical="center" wrapText="1"/>
      <protection locked="0"/>
    </xf>
    <xf numFmtId="0" fontId="0" fillId="14" borderId="0" xfId="0" applyFill="1"/>
    <xf numFmtId="1" fontId="12" fillId="14" borderId="1" xfId="23" applyNumberFormat="1" applyFont="1" applyFill="1" applyBorder="1" applyAlignment="1" applyProtection="1">
      <alignment horizontal="center" vertical="center" wrapText="1"/>
    </xf>
    <xf numFmtId="0" fontId="12" fillId="12" borderId="1" xfId="0" applyFont="1" applyFill="1" applyBorder="1" applyAlignment="1" applyProtection="1">
      <alignment horizontal="center" vertical="center" wrapText="1"/>
    </xf>
    <xf numFmtId="0" fontId="33" fillId="12" borderId="0" xfId="0" applyFont="1" applyFill="1"/>
    <xf numFmtId="0" fontId="12" fillId="12" borderId="1" xfId="0" applyFont="1" applyFill="1" applyBorder="1" applyAlignment="1" applyProtection="1">
      <alignment horizontal="justify" vertical="center" wrapText="1"/>
    </xf>
    <xf numFmtId="1" fontId="12" fillId="12" borderId="1" xfId="23" applyNumberFormat="1"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0" fontId="19" fillId="15" borderId="1" xfId="0" applyFont="1" applyFill="1" applyBorder="1" applyAlignment="1" applyProtection="1">
      <alignment horizontal="center" vertical="center" wrapText="1"/>
    </xf>
    <xf numFmtId="0" fontId="39" fillId="12" borderId="0" xfId="0" applyFont="1" applyFill="1"/>
    <xf numFmtId="0" fontId="39" fillId="15" borderId="0" xfId="0" applyFont="1" applyFill="1"/>
    <xf numFmtId="0" fontId="0" fillId="12" borderId="0" xfId="0" applyFill="1"/>
    <xf numFmtId="0" fontId="39" fillId="10" borderId="0" xfId="0" applyFont="1" applyFill="1"/>
    <xf numFmtId="165" fontId="12" fillId="12" borderId="1" xfId="0" applyNumberFormat="1" applyFont="1" applyFill="1" applyBorder="1" applyAlignment="1" applyProtection="1">
      <alignment horizontal="justify" vertical="center" wrapText="1"/>
    </xf>
    <xf numFmtId="0" fontId="39" fillId="0" borderId="0" xfId="0" applyFont="1" applyAlignment="1">
      <alignment wrapText="1"/>
    </xf>
    <xf numFmtId="0" fontId="0" fillId="0" borderId="0" xfId="0" applyAlignment="1">
      <alignment wrapText="1"/>
    </xf>
    <xf numFmtId="44" fontId="0" fillId="0" borderId="0" xfId="11" applyFont="1"/>
    <xf numFmtId="44" fontId="39" fillId="0" borderId="0" xfId="11" applyFont="1"/>
    <xf numFmtId="0" fontId="39" fillId="0" borderId="0" xfId="0" applyFont="1" applyAlignment="1">
      <alignment vertical="center"/>
    </xf>
    <xf numFmtId="166" fontId="0" fillId="0" borderId="0" xfId="0" applyNumberFormat="1" applyAlignment="1">
      <alignment wrapText="1"/>
    </xf>
    <xf numFmtId="44" fontId="42" fillId="0" borderId="0" xfId="11" applyFont="1" applyAlignment="1">
      <alignment wrapText="1"/>
    </xf>
    <xf numFmtId="176" fontId="28" fillId="0" borderId="0" xfId="11" applyNumberFormat="1" applyFont="1"/>
    <xf numFmtId="176" fontId="0" fillId="0" borderId="0" xfId="0" applyNumberFormat="1"/>
    <xf numFmtId="176" fontId="48" fillId="0" borderId="0" xfId="0" applyNumberFormat="1" applyFont="1"/>
    <xf numFmtId="172" fontId="12" fillId="14" borderId="1" xfId="3" applyNumberFormat="1" applyFont="1" applyFill="1" applyBorder="1"/>
    <xf numFmtId="172" fontId="12" fillId="13" borderId="1" xfId="3" applyNumberFormat="1" applyFont="1" applyFill="1" applyBorder="1"/>
    <xf numFmtId="176" fontId="0" fillId="13" borderId="0" xfId="11" applyNumberFormat="1" applyFont="1" applyFill="1"/>
    <xf numFmtId="176" fontId="0" fillId="14" borderId="0" xfId="11" applyNumberFormat="1" applyFont="1" applyFill="1"/>
    <xf numFmtId="172" fontId="12" fillId="16" borderId="1" xfId="3" applyNumberFormat="1" applyFont="1" applyFill="1" applyBorder="1"/>
    <xf numFmtId="176" fontId="0" fillId="16" borderId="0" xfId="11" applyNumberFormat="1" applyFont="1" applyFill="1"/>
    <xf numFmtId="176" fontId="0" fillId="16" borderId="0" xfId="0" applyNumberFormat="1" applyFill="1"/>
    <xf numFmtId="176" fontId="48" fillId="0" borderId="0" xfId="11" applyNumberFormat="1" applyFont="1"/>
    <xf numFmtId="0" fontId="11"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46" fillId="0" borderId="1" xfId="0" applyFont="1" applyBorder="1" applyAlignment="1">
      <alignment horizontal="center" vertical="center"/>
    </xf>
    <xf numFmtId="0" fontId="12" fillId="0" borderId="1" xfId="0" applyFont="1" applyFill="1" applyBorder="1" applyAlignment="1" applyProtection="1">
      <alignment horizontal="justify" vertical="center" wrapText="1"/>
    </xf>
    <xf numFmtId="0" fontId="1" fillId="17" borderId="1" xfId="23" applyFont="1" applyFill="1" applyBorder="1" applyAlignment="1" applyProtection="1">
      <alignment vertical="center" wrapText="1"/>
      <protection locked="0"/>
    </xf>
    <xf numFmtId="164" fontId="10" fillId="4" borderId="1" xfId="23" applyNumberFormat="1" applyFont="1" applyFill="1" applyBorder="1" applyAlignment="1" applyProtection="1">
      <alignment horizontal="center" vertical="center" wrapText="1"/>
      <protection locked="0"/>
    </xf>
    <xf numFmtId="0" fontId="15" fillId="0" borderId="1" xfId="23" applyFont="1" applyFill="1" applyBorder="1" applyAlignment="1" applyProtection="1">
      <alignment horizontal="center" vertical="center"/>
      <protection locked="0"/>
    </xf>
    <xf numFmtId="1" fontId="12" fillId="10" borderId="1" xfId="23" applyNumberFormat="1" applyFont="1" applyFill="1" applyBorder="1" applyAlignment="1" applyProtection="1">
      <alignment horizontal="center" vertical="center" wrapText="1"/>
    </xf>
    <xf numFmtId="0" fontId="11" fillId="10" borderId="1" xfId="23"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wrapText="1"/>
    </xf>
    <xf numFmtId="0" fontId="3" fillId="10" borderId="0" xfId="23" applyFont="1" applyFill="1" applyAlignment="1" applyProtection="1">
      <alignment horizontal="left" vertical="center"/>
      <protection locked="0"/>
    </xf>
    <xf numFmtId="168" fontId="15" fillId="10" borderId="1" xfId="23" applyNumberFormat="1" applyFont="1" applyFill="1" applyBorder="1" applyAlignment="1">
      <alignment horizontal="right" vertical="center" wrapText="1"/>
    </xf>
    <xf numFmtId="1" fontId="11" fillId="0" borderId="1" xfId="33" applyNumberFormat="1" applyFont="1" applyFill="1" applyBorder="1" applyAlignment="1" applyProtection="1">
      <alignment vertical="center" wrapText="1"/>
    </xf>
    <xf numFmtId="0" fontId="11" fillId="0" borderId="1" xfId="0" applyFont="1" applyFill="1" applyBorder="1" applyAlignment="1" applyProtection="1">
      <alignment vertical="center" wrapText="1"/>
    </xf>
    <xf numFmtId="166" fontId="11" fillId="0" borderId="1" xfId="0" applyNumberFormat="1" applyFont="1" applyFill="1" applyBorder="1" applyAlignment="1" applyProtection="1">
      <alignment vertical="center" wrapText="1"/>
      <protection locked="0"/>
    </xf>
    <xf numFmtId="166" fontId="12" fillId="0" borderId="1" xfId="23" applyNumberFormat="1" applyFont="1" applyFill="1" applyBorder="1" applyAlignment="1" applyProtection="1">
      <alignment vertical="center" wrapText="1"/>
      <protection locked="0"/>
    </xf>
    <xf numFmtId="3" fontId="12" fillId="10" borderId="15"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53" fillId="0" borderId="1" xfId="0" applyNumberFormat="1" applyFont="1" applyFill="1" applyBorder="1" applyAlignment="1" applyProtection="1">
      <alignment horizontal="justify" vertical="center" wrapText="1"/>
    </xf>
    <xf numFmtId="166" fontId="40" fillId="0" borderId="1" xfId="0" applyNumberFormat="1" applyFont="1" applyFill="1" applyBorder="1" applyAlignment="1" applyProtection="1">
      <alignment horizontal="right" vertical="center" wrapText="1"/>
      <protection locked="0"/>
    </xf>
    <xf numFmtId="166" fontId="39" fillId="0" borderId="1" xfId="23" applyNumberFormat="1" applyFont="1" applyFill="1" applyBorder="1" applyAlignment="1" applyProtection="1">
      <alignment horizontal="right" vertical="center" wrapText="1"/>
      <protection locked="0"/>
    </xf>
    <xf numFmtId="166" fontId="9" fillId="0" borderId="1" xfId="23" applyNumberFormat="1" applyFont="1" applyFill="1" applyBorder="1" applyAlignment="1" applyProtection="1">
      <alignment horizontal="right" vertical="center" wrapText="1"/>
      <protection locked="0"/>
    </xf>
    <xf numFmtId="166" fontId="9" fillId="0" borderId="1" xfId="0" applyNumberFormat="1" applyFont="1" applyFill="1" applyBorder="1" applyAlignment="1" applyProtection="1">
      <alignment horizontal="right" vertical="center" wrapText="1"/>
      <protection locked="0"/>
    </xf>
    <xf numFmtId="164" fontId="11" fillId="4" borderId="7" xfId="23"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55" fillId="17" borderId="1" xfId="0" applyFont="1" applyFill="1" applyBorder="1" applyAlignment="1">
      <alignment vertical="center" wrapText="1"/>
    </xf>
    <xf numFmtId="176" fontId="39" fillId="0" borderId="0" xfId="11" applyNumberFormat="1" applyFont="1"/>
    <xf numFmtId="176" fontId="39" fillId="0" borderId="0" xfId="0" applyNumberFormat="1" applyFont="1"/>
    <xf numFmtId="0" fontId="55" fillId="17" borderId="1" xfId="0" applyFont="1" applyFill="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vertical="center" wrapText="1"/>
    </xf>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wrapText="1"/>
    </xf>
    <xf numFmtId="0" fontId="56" fillId="0" borderId="0" xfId="0" applyFont="1" applyAlignment="1">
      <alignment wrapText="1"/>
    </xf>
    <xf numFmtId="0" fontId="55" fillId="17" borderId="1" xfId="0" applyFont="1" applyFill="1" applyBorder="1" applyAlignment="1">
      <alignment horizontal="left" vertical="center" wrapText="1"/>
    </xf>
    <xf numFmtId="0" fontId="55" fillId="0" borderId="0" xfId="0" applyFont="1" applyAlignment="1">
      <alignment wrapText="1"/>
    </xf>
    <xf numFmtId="1" fontId="0" fillId="0" borderId="0" xfId="29" applyNumberFormat="1" applyFont="1"/>
    <xf numFmtId="0" fontId="11" fillId="10" borderId="1" xfId="0" applyFont="1" applyFill="1" applyBorder="1" applyAlignment="1">
      <alignment horizontal="justify" vertical="center" wrapText="1"/>
    </xf>
    <xf numFmtId="0" fontId="33" fillId="0" borderId="0" xfId="0" applyFont="1" applyAlignment="1">
      <alignment horizontal="center" vertical="center"/>
    </xf>
    <xf numFmtId="0" fontId="55" fillId="0" borderId="0" xfId="0" applyFont="1" applyAlignment="1">
      <alignment horizontal="center" vertical="center" wrapText="1"/>
    </xf>
    <xf numFmtId="0" fontId="39" fillId="18" borderId="0" xfId="0" applyFont="1" applyFill="1" applyAlignment="1">
      <alignment horizontal="center" vertical="center" wrapText="1"/>
    </xf>
    <xf numFmtId="0" fontId="39" fillId="0" borderId="0" xfId="11" applyNumberFormat="1" applyFont="1"/>
    <xf numFmtId="0" fontId="39" fillId="0" borderId="0" xfId="0" applyNumberFormat="1" applyFont="1"/>
    <xf numFmtId="0" fontId="0" fillId="4" borderId="0" xfId="0" applyFill="1" applyAlignment="1">
      <alignment horizontal="center" vertical="center" wrapText="1"/>
    </xf>
    <xf numFmtId="0" fontId="55" fillId="4" borderId="19" xfId="0" applyFont="1" applyFill="1" applyBorder="1" applyAlignment="1">
      <alignment horizontal="left" vertical="center" wrapText="1"/>
    </xf>
    <xf numFmtId="0" fontId="55" fillId="17" borderId="1" xfId="0" applyFont="1" applyFill="1" applyBorder="1" applyAlignment="1">
      <alignment horizontal="left" vertical="center"/>
    </xf>
    <xf numFmtId="0" fontId="55" fillId="4" borderId="0" xfId="0" applyFont="1" applyFill="1" applyAlignment="1">
      <alignment horizontal="left" vertical="center" wrapText="1"/>
    </xf>
    <xf numFmtId="0" fontId="11" fillId="0" borderId="1" xfId="0" applyFont="1" applyFill="1" applyBorder="1" applyAlignment="1" applyProtection="1">
      <alignment horizontal="center" vertical="center" wrapText="1"/>
    </xf>
    <xf numFmtId="0" fontId="55" fillId="0" borderId="0" xfId="0" applyFont="1" applyAlignment="1">
      <alignment horizontal="left" vertical="center" wrapText="1"/>
    </xf>
    <xf numFmtId="0" fontId="55" fillId="0" borderId="0" xfId="0" applyFont="1" applyAlignment="1">
      <alignment horizontal="center" vertical="center"/>
    </xf>
    <xf numFmtId="0" fontId="55" fillId="17" borderId="3" xfId="0" applyFont="1" applyFill="1" applyBorder="1" applyAlignment="1">
      <alignment vertical="center" wrapText="1"/>
    </xf>
    <xf numFmtId="166" fontId="55" fillId="17" borderId="1" xfId="0" applyNumberFormat="1" applyFont="1" applyFill="1" applyBorder="1" applyAlignment="1">
      <alignment horizontal="left" vertical="center" wrapText="1"/>
    </xf>
    <xf numFmtId="177" fontId="0" fillId="0" borderId="0" xfId="0" applyNumberFormat="1"/>
    <xf numFmtId="0" fontId="32" fillId="0" borderId="0" xfId="0" applyFont="1" applyAlignment="1">
      <alignment horizontal="left" vertical="center" wrapText="1"/>
    </xf>
    <xf numFmtId="0" fontId="19" fillId="0" borderId="1" xfId="0" applyFont="1" applyFill="1" applyBorder="1" applyAlignment="1" applyProtection="1">
      <alignment horizontal="center" vertical="center" wrapText="1"/>
    </xf>
    <xf numFmtId="166" fontId="20"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 fillId="4" borderId="0" xfId="0" applyFont="1" applyFill="1" applyBorder="1" applyAlignment="1" applyProtection="1">
      <alignment horizontal="left" vertical="center" wrapText="1"/>
      <protection locked="0"/>
    </xf>
    <xf numFmtId="0" fontId="1" fillId="0" borderId="0" xfId="23" applyFont="1" applyFill="1" applyBorder="1" applyAlignment="1" applyProtection="1">
      <alignment horizontal="left" vertical="center" wrapText="1"/>
      <protection locked="0"/>
    </xf>
    <xf numFmtId="0" fontId="1" fillId="0" borderId="0" xfId="23" applyFont="1" applyFill="1" applyBorder="1" applyAlignment="1" applyProtection="1">
      <alignment horizontal="center" vertical="center" wrapText="1"/>
      <protection locked="0"/>
    </xf>
    <xf numFmtId="0" fontId="1" fillId="17" borderId="1" xfId="0" applyFont="1" applyFill="1" applyBorder="1" applyAlignment="1" applyProtection="1">
      <alignment horizontal="left" vertical="center" wrapText="1"/>
      <protection locked="0"/>
    </xf>
    <xf numFmtId="0" fontId="21" fillId="4" borderId="1" xfId="23" applyFont="1" applyFill="1" applyBorder="1" applyAlignment="1" applyProtection="1">
      <alignment horizontal="center" vertical="center" wrapText="1"/>
      <protection locked="0"/>
    </xf>
    <xf numFmtId="164" fontId="21" fillId="4" borderId="1" xfId="23" applyNumberFormat="1" applyFont="1" applyFill="1" applyBorder="1" applyAlignment="1" applyProtection="1">
      <alignment horizontal="center" vertical="center" wrapText="1"/>
      <protection locked="0"/>
    </xf>
    <xf numFmtId="165" fontId="67" fillId="0" borderId="1" xfId="0" applyNumberFormat="1" applyFont="1" applyFill="1" applyBorder="1" applyAlignment="1" applyProtection="1">
      <alignment horizontal="justify" vertical="center" wrapText="1"/>
    </xf>
    <xf numFmtId="165" fontId="67" fillId="0" borderId="1" xfId="0" applyNumberFormat="1" applyFont="1" applyFill="1" applyBorder="1" applyAlignment="1" applyProtection="1">
      <alignment horizontal="left" vertical="center" wrapText="1"/>
    </xf>
    <xf numFmtId="0" fontId="21" fillId="0" borderId="1" xfId="23" applyFont="1" applyFill="1" applyBorder="1" applyAlignment="1" applyProtection="1">
      <alignment horizontal="center" vertical="center" wrapText="1"/>
    </xf>
    <xf numFmtId="0" fontId="67" fillId="0" borderId="1" xfId="23" applyFont="1" applyFill="1" applyBorder="1" applyAlignment="1" applyProtection="1">
      <alignment horizontal="left" vertical="center" wrapText="1"/>
    </xf>
    <xf numFmtId="166" fontId="68" fillId="0" borderId="1"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center" vertical="center" wrapText="1"/>
      <protection locked="0"/>
    </xf>
    <xf numFmtId="0" fontId="21" fillId="0" borderId="1" xfId="23" applyFont="1" applyFill="1" applyBorder="1" applyAlignment="1" applyProtection="1">
      <alignment horizontal="left" vertical="center"/>
      <protection locked="0"/>
    </xf>
    <xf numFmtId="0" fontId="69" fillId="4" borderId="1" xfId="23" applyFont="1" applyFill="1" applyBorder="1" applyAlignment="1" applyProtection="1">
      <alignment horizontal="left" vertical="center"/>
      <protection locked="0"/>
    </xf>
    <xf numFmtId="0" fontId="21" fillId="0" borderId="1" xfId="0" applyNumberFormat="1"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0" fontId="67" fillId="0" borderId="1" xfId="23"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165" fontId="67" fillId="0" borderId="1" xfId="0" applyNumberFormat="1" applyFont="1" applyFill="1" applyBorder="1" applyAlignment="1" applyProtection="1">
      <alignment horizontal="center" vertical="center" wrapText="1"/>
    </xf>
    <xf numFmtId="3" fontId="21" fillId="0" borderId="1" xfId="23" applyNumberFormat="1" applyFont="1" applyFill="1" applyBorder="1" applyAlignment="1" applyProtection="1">
      <alignment horizontal="center" vertical="center" wrapText="1"/>
      <protection locked="0"/>
    </xf>
    <xf numFmtId="165" fontId="67" fillId="10" borderId="1" xfId="0" applyNumberFormat="1" applyFont="1" applyFill="1" applyBorder="1" applyAlignment="1" applyProtection="1">
      <alignment horizontal="justify" vertical="center" wrapText="1"/>
    </xf>
    <xf numFmtId="166" fontId="21" fillId="0" borderId="1" xfId="0" applyNumberFormat="1" applyFont="1" applyFill="1" applyBorder="1" applyAlignment="1" applyProtection="1">
      <alignment horizontal="right" vertical="center" wrapText="1"/>
      <protection locked="0"/>
    </xf>
    <xf numFmtId="0" fontId="21" fillId="4" borderId="1" xfId="23" applyFont="1" applyFill="1" applyBorder="1" applyAlignment="1" applyProtection="1">
      <alignment horizontal="center" vertical="center"/>
      <protection locked="0"/>
    </xf>
    <xf numFmtId="0" fontId="21" fillId="0" borderId="1" xfId="0" applyNumberFormat="1" applyFont="1" applyFill="1" applyBorder="1" applyAlignment="1" applyProtection="1">
      <alignment horizontal="justify" vertical="center" wrapText="1"/>
    </xf>
    <xf numFmtId="0" fontId="67" fillId="0" borderId="1" xfId="0" applyFont="1" applyFill="1" applyBorder="1" applyAlignment="1" applyProtection="1">
      <alignment horizontal="justify" vertical="center" wrapText="1"/>
    </xf>
    <xf numFmtId="0" fontId="67" fillId="14" borderId="1" xfId="23" applyFont="1" applyFill="1" applyBorder="1" applyAlignment="1" applyProtection="1">
      <alignment horizontal="center" vertical="center" wrapText="1"/>
    </xf>
    <xf numFmtId="44" fontId="21" fillId="0" borderId="1" xfId="0" applyNumberFormat="1" applyFont="1" applyFill="1" applyBorder="1" applyAlignment="1" applyProtection="1">
      <alignment horizontal="justify" vertical="center" wrapText="1"/>
    </xf>
    <xf numFmtId="44" fontId="67" fillId="0" borderId="1" xfId="11" applyFont="1" applyFill="1" applyBorder="1" applyAlignment="1" applyProtection="1">
      <alignment horizontal="justify" vertical="center" wrapText="1"/>
    </xf>
    <xf numFmtId="166" fontId="67" fillId="0" borderId="1" xfId="0" applyNumberFormat="1" applyFont="1" applyFill="1" applyBorder="1" applyAlignment="1" applyProtection="1">
      <alignment vertical="center" wrapText="1"/>
      <protection locked="0"/>
    </xf>
    <xf numFmtId="166" fontId="21" fillId="0" borderId="1" xfId="0" applyNumberFormat="1" applyFont="1" applyFill="1" applyBorder="1" applyAlignment="1" applyProtection="1">
      <alignment vertical="center" wrapText="1"/>
      <protection locked="0"/>
    </xf>
    <xf numFmtId="165" fontId="67" fillId="14" borderId="1" xfId="0" applyNumberFormat="1" applyFont="1" applyFill="1" applyBorder="1" applyAlignment="1" applyProtection="1">
      <alignment horizontal="justify" vertical="center" wrapText="1"/>
    </xf>
    <xf numFmtId="165" fontId="67" fillId="0" borderId="1" xfId="0" applyNumberFormat="1" applyFont="1" applyFill="1" applyBorder="1" applyAlignment="1" applyProtection="1">
      <alignment vertical="center" wrapText="1"/>
    </xf>
    <xf numFmtId="3" fontId="21" fillId="0" borderId="1" xfId="0" applyNumberFormat="1" applyFont="1" applyFill="1" applyBorder="1" applyAlignment="1" applyProtection="1">
      <alignment horizontal="center" vertical="center" wrapText="1"/>
    </xf>
    <xf numFmtId="3" fontId="67" fillId="0" borderId="1" xfId="0" applyNumberFormat="1" applyFont="1" applyFill="1" applyBorder="1" applyAlignment="1" applyProtection="1">
      <alignment vertical="center" wrapText="1"/>
    </xf>
    <xf numFmtId="168" fontId="4" fillId="4" borderId="1" xfId="23" applyNumberFormat="1" applyFont="1" applyFill="1" applyBorder="1" applyAlignment="1">
      <alignment horizontal="center" vertical="center" wrapText="1"/>
    </xf>
    <xf numFmtId="168" fontId="4" fillId="4" borderId="1" xfId="23" applyNumberFormat="1" applyFont="1" applyFill="1" applyBorder="1" applyAlignment="1">
      <alignment horizontal="right" vertical="center" wrapText="1"/>
    </xf>
    <xf numFmtId="0" fontId="63"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17" borderId="1" xfId="23" applyFont="1" applyFill="1" applyBorder="1" applyAlignment="1" applyProtection="1">
      <alignment horizontal="left" vertical="center" wrapText="1"/>
      <protection locked="0"/>
    </xf>
    <xf numFmtId="0" fontId="1" fillId="0" borderId="0" xfId="23" applyNumberFormat="1" applyFont="1" applyFill="1" applyBorder="1" applyAlignment="1" applyProtection="1">
      <alignment horizontal="left" vertical="center" wrapText="1"/>
      <protection locked="0"/>
    </xf>
    <xf numFmtId="0" fontId="1" fillId="4" borderId="0" xfId="23" applyFont="1" applyFill="1" applyBorder="1" applyAlignment="1" applyProtection="1">
      <alignment horizontal="left" vertical="center" wrapText="1"/>
      <protection locked="0"/>
    </xf>
    <xf numFmtId="164" fontId="71" fillId="4" borderId="7" xfId="23" applyNumberFormat="1" applyFont="1" applyFill="1" applyBorder="1" applyAlignment="1" applyProtection="1">
      <alignment horizontal="center" vertical="center" wrapText="1"/>
      <protection locked="0"/>
    </xf>
    <xf numFmtId="164" fontId="71" fillId="4" borderId="1" xfId="23" applyNumberFormat="1" applyFont="1" applyFill="1" applyBorder="1" applyAlignment="1" applyProtection="1">
      <alignment horizontal="center" vertical="center" wrapText="1"/>
      <protection locked="0"/>
    </xf>
    <xf numFmtId="0" fontId="71" fillId="4" borderId="1" xfId="23" applyFont="1" applyFill="1" applyBorder="1" applyAlignment="1" applyProtection="1">
      <alignment horizontal="center" vertical="center"/>
      <protection locked="0"/>
    </xf>
    <xf numFmtId="0" fontId="71" fillId="4" borderId="1" xfId="23" applyFont="1" applyFill="1" applyBorder="1" applyAlignment="1" applyProtection="1">
      <alignment horizontal="center" vertical="center" wrapText="1"/>
      <protection locked="0"/>
    </xf>
    <xf numFmtId="165" fontId="58" fillId="0" borderId="1" xfId="0" applyNumberFormat="1" applyFont="1" applyFill="1" applyBorder="1" applyAlignment="1" applyProtection="1">
      <alignment horizontal="justify" vertical="center" wrapText="1"/>
    </xf>
    <xf numFmtId="0" fontId="58" fillId="14" borderId="1" xfId="23" applyFont="1" applyFill="1" applyBorder="1" applyAlignment="1" applyProtection="1">
      <alignment horizontal="center" vertical="center" wrapText="1"/>
      <protection locked="0"/>
    </xf>
    <xf numFmtId="0" fontId="58" fillId="0" borderId="1" xfId="23" applyFont="1" applyFill="1" applyBorder="1" applyAlignment="1" applyProtection="1">
      <alignment horizontal="center" vertical="center" wrapText="1"/>
      <protection locked="0"/>
    </xf>
    <xf numFmtId="0" fontId="71" fillId="0" borderId="1" xfId="23" applyFont="1" applyFill="1" applyBorder="1" applyAlignment="1" applyProtection="1">
      <alignment horizontal="center" vertical="center" wrapText="1"/>
      <protection locked="0"/>
    </xf>
    <xf numFmtId="1" fontId="58" fillId="0" borderId="1" xfId="29" applyNumberFormat="1" applyFont="1" applyFill="1" applyBorder="1" applyAlignment="1" applyProtection="1">
      <alignment horizontal="center" vertical="center" wrapText="1"/>
    </xf>
    <xf numFmtId="1" fontId="71" fillId="0" borderId="1" xfId="0" applyNumberFormat="1" applyFont="1" applyFill="1" applyBorder="1" applyAlignment="1" applyProtection="1">
      <alignment horizontal="center" vertical="center" wrapText="1"/>
    </xf>
    <xf numFmtId="165" fontId="58" fillId="0" borderId="1" xfId="0" applyNumberFormat="1" applyFont="1" applyFill="1" applyBorder="1" applyAlignment="1" applyProtection="1">
      <alignment horizontal="left" vertical="center" wrapText="1"/>
    </xf>
    <xf numFmtId="1" fontId="58" fillId="14" borderId="1" xfId="23" applyNumberFormat="1" applyFont="1" applyFill="1" applyBorder="1" applyAlignment="1" applyProtection="1">
      <alignment horizontal="center" vertical="center" wrapText="1"/>
    </xf>
    <xf numFmtId="0" fontId="58" fillId="0" borderId="1" xfId="0" applyFont="1" applyFill="1" applyBorder="1" applyAlignment="1">
      <alignment horizontal="center" vertical="center"/>
    </xf>
    <xf numFmtId="165" fontId="58" fillId="10" borderId="1" xfId="0" applyNumberFormat="1" applyFont="1" applyFill="1" applyBorder="1" applyAlignment="1" applyProtection="1">
      <alignment horizontal="left" wrapText="1"/>
    </xf>
    <xf numFmtId="1" fontId="71" fillId="0" borderId="1" xfId="33" applyNumberFormat="1" applyFont="1" applyFill="1" applyBorder="1" applyAlignment="1" applyProtection="1">
      <alignment horizontal="center" vertical="center" wrapText="1"/>
    </xf>
    <xf numFmtId="1" fontId="58" fillId="0" borderId="1" xfId="23" applyNumberFormat="1" applyFont="1" applyFill="1" applyBorder="1" applyAlignment="1" applyProtection="1">
      <alignment horizontal="center" vertical="center" wrapText="1"/>
    </xf>
    <xf numFmtId="0" fontId="71" fillId="0" borderId="1" xfId="0" applyFont="1" applyFill="1" applyBorder="1" applyAlignment="1" applyProtection="1">
      <alignment horizontal="center" vertical="center" wrapText="1"/>
    </xf>
    <xf numFmtId="1" fontId="71" fillId="9" borderId="1" xfId="33" applyNumberFormat="1" applyFont="1" applyFill="1" applyBorder="1" applyAlignment="1" applyProtection="1">
      <alignment horizontal="center" vertical="center" wrapText="1"/>
    </xf>
    <xf numFmtId="1" fontId="71" fillId="10" borderId="1" xfId="33" applyNumberFormat="1" applyFont="1" applyFill="1" applyBorder="1" applyAlignment="1" applyProtection="1">
      <alignment horizontal="center" vertical="center" wrapText="1"/>
    </xf>
    <xf numFmtId="165" fontId="58" fillId="10" borderId="1" xfId="0" applyNumberFormat="1" applyFont="1" applyFill="1" applyBorder="1" applyAlignment="1" applyProtection="1">
      <alignment vertical="center" wrapText="1"/>
    </xf>
    <xf numFmtId="9" fontId="71" fillId="0" borderId="1" xfId="33" applyFont="1" applyFill="1" applyBorder="1" applyAlignment="1" applyProtection="1">
      <alignment horizontal="center" vertical="center" wrapText="1"/>
    </xf>
    <xf numFmtId="1" fontId="58" fillId="9" borderId="1" xfId="23"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left" vertical="center" wrapText="1"/>
    </xf>
    <xf numFmtId="165" fontId="58" fillId="0" borderId="1" xfId="0" applyNumberFormat="1" applyFont="1" applyFill="1" applyBorder="1" applyAlignment="1" applyProtection="1">
      <alignment vertical="center" wrapText="1"/>
    </xf>
    <xf numFmtId="0" fontId="58" fillId="0" borderId="1" xfId="0" applyNumberFormat="1" applyFont="1" applyFill="1" applyBorder="1" applyAlignment="1" applyProtection="1">
      <alignment horizontal="justify" vertical="center" wrapText="1"/>
    </xf>
    <xf numFmtId="166" fontId="33" fillId="0" borderId="0" xfId="0" applyNumberFormat="1" applyFont="1"/>
    <xf numFmtId="168" fontId="33" fillId="0" borderId="0" xfId="0" applyNumberFormat="1" applyFont="1"/>
    <xf numFmtId="0" fontId="33" fillId="14" borderId="0" xfId="0" applyFont="1" applyFill="1"/>
    <xf numFmtId="166" fontId="33" fillId="0" borderId="0" xfId="0" applyNumberFormat="1" applyFont="1" applyAlignment="1">
      <alignment wrapText="1"/>
    </xf>
    <xf numFmtId="0" fontId="55" fillId="0" borderId="0" xfId="0" applyFont="1"/>
    <xf numFmtId="166" fontId="56" fillId="0" borderId="0" xfId="0" applyNumberFormat="1" applyFont="1"/>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xf>
    <xf numFmtId="0" fontId="56" fillId="0" borderId="0" xfId="0" applyFont="1" applyAlignment="1">
      <alignment horizontal="left" vertical="center" wrapText="1"/>
    </xf>
    <xf numFmtId="0" fontId="55" fillId="17" borderId="1" xfId="0" applyFont="1" applyFill="1" applyBorder="1" applyAlignment="1">
      <alignment wrapText="1"/>
    </xf>
    <xf numFmtId="164" fontId="15" fillId="17" borderId="1" xfId="23" applyNumberFormat="1" applyFont="1" applyFill="1" applyBorder="1" applyAlignment="1" applyProtection="1">
      <alignment horizontal="center" vertical="center" wrapText="1"/>
      <protection locked="0"/>
    </xf>
    <xf numFmtId="0" fontId="56" fillId="17" borderId="1" xfId="0" applyFont="1" applyFill="1" applyBorder="1" applyAlignment="1">
      <alignment horizontal="left" vertical="center" wrapText="1"/>
    </xf>
    <xf numFmtId="0" fontId="55" fillId="17" borderId="1" xfId="0" applyFont="1" applyFill="1" applyBorder="1" applyAlignment="1">
      <alignment horizontal="justify" vertical="center" wrapText="1"/>
    </xf>
    <xf numFmtId="0" fontId="55" fillId="4" borderId="0" xfId="0" applyFont="1" applyFill="1" applyAlignment="1">
      <alignment horizontal="justify" vertical="center" wrapText="1"/>
    </xf>
    <xf numFmtId="0" fontId="55" fillId="17" borderId="1" xfId="0" applyFont="1" applyFill="1" applyBorder="1" applyAlignment="1">
      <alignment horizontal="justify" vertical="center" wrapText="1"/>
    </xf>
    <xf numFmtId="0" fontId="0" fillId="17" borderId="1" xfId="0" applyFill="1" applyBorder="1" applyAlignment="1">
      <alignment horizontal="justify"/>
    </xf>
    <xf numFmtId="0"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55" fillId="17" borderId="6" xfId="0" applyFont="1" applyFill="1" applyBorder="1" applyAlignment="1">
      <alignment vertical="center" wrapText="1"/>
    </xf>
    <xf numFmtId="0" fontId="28" fillId="0" borderId="1" xfId="0" applyFont="1" applyBorder="1" applyAlignment="1">
      <alignment horizontal="center"/>
    </xf>
    <xf numFmtId="0" fontId="43"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3" fillId="4" borderId="1" xfId="0" applyFont="1" applyFill="1" applyBorder="1" applyAlignment="1">
      <alignment horizontal="center" vertical="center" wrapText="1"/>
    </xf>
    <xf numFmtId="0" fontId="40" fillId="0" borderId="1" xfId="0" applyFont="1" applyBorder="1" applyAlignment="1">
      <alignment horizontal="center"/>
    </xf>
    <xf numFmtId="9" fontId="40" fillId="0" borderId="1" xfId="29" applyFont="1" applyBorder="1" applyAlignment="1">
      <alignment horizontal="center"/>
    </xf>
    <xf numFmtId="165" fontId="12" fillId="0" borderId="1" xfId="0" applyNumberFormat="1" applyFont="1" applyFill="1" applyBorder="1" applyAlignment="1" applyProtection="1">
      <alignment horizontal="center" vertical="center" wrapText="1"/>
    </xf>
    <xf numFmtId="0" fontId="22" fillId="0" borderId="1" xfId="23" applyFont="1" applyBorder="1" applyAlignment="1" applyProtection="1">
      <alignment horizontal="center" vertical="center"/>
      <protection locked="0"/>
    </xf>
    <xf numFmtId="165" fontId="12" fillId="0" borderId="6" xfId="0" applyNumberFormat="1" applyFont="1" applyFill="1" applyBorder="1" applyAlignment="1" applyProtection="1">
      <alignment horizontal="left" vertical="center" wrapText="1"/>
    </xf>
    <xf numFmtId="165" fontId="12" fillId="0" borderId="7" xfId="0" applyNumberFormat="1" applyFont="1" applyFill="1" applyBorder="1" applyAlignment="1" applyProtection="1">
      <alignment horizontal="left" vertical="center" wrapText="1"/>
    </xf>
    <xf numFmtId="9" fontId="32" fillId="0" borderId="1" xfId="0" applyNumberFormat="1" applyFont="1" applyFill="1" applyBorder="1" applyAlignment="1">
      <alignment horizontal="center" vertical="center"/>
    </xf>
    <xf numFmtId="165" fontId="12" fillId="0" borderId="3" xfId="0" applyNumberFormat="1" applyFont="1" applyFill="1" applyBorder="1" applyAlignment="1" applyProtection="1">
      <alignment horizontal="left" vertical="center" wrapText="1"/>
    </xf>
    <xf numFmtId="0" fontId="32" fillId="0" borderId="6" xfId="0" applyFont="1" applyBorder="1" applyAlignment="1">
      <alignment horizontal="left" wrapText="1"/>
    </xf>
    <xf numFmtId="0" fontId="32" fillId="0" borderId="7" xfId="0" applyFont="1" applyBorder="1" applyAlignment="1">
      <alignment horizontal="left" wrapText="1"/>
    </xf>
    <xf numFmtId="0" fontId="32" fillId="0" borderId="3" xfId="0" applyFont="1" applyBorder="1" applyAlignment="1">
      <alignment horizontal="left"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21" fillId="4" borderId="1" xfId="23" applyFont="1" applyFill="1" applyBorder="1" applyAlignment="1" applyProtection="1">
      <alignment horizontal="center"/>
      <protection locked="0"/>
    </xf>
    <xf numFmtId="165" fontId="12" fillId="0" borderId="6" xfId="0" applyNumberFormat="1" applyFont="1" applyFill="1" applyBorder="1" applyAlignment="1" applyProtection="1">
      <alignment horizontal="center" vertical="center" wrapText="1"/>
    </xf>
    <xf numFmtId="165" fontId="12" fillId="0" borderId="7" xfId="0" applyNumberFormat="1" applyFont="1" applyFill="1" applyBorder="1" applyAlignment="1" applyProtection="1">
      <alignment horizontal="center" vertical="center" wrapText="1"/>
    </xf>
    <xf numFmtId="165" fontId="12" fillId="0" borderId="3"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32" fillId="0" borderId="1" xfId="0" applyFont="1" applyFill="1" applyBorder="1" applyAlignment="1">
      <alignment horizontal="center" vertical="center"/>
    </xf>
    <xf numFmtId="1" fontId="32" fillId="0" borderId="1" xfId="0" applyNumberFormat="1" applyFont="1" applyFill="1" applyBorder="1" applyAlignment="1">
      <alignment horizontal="center" vertical="center"/>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horizontal="right" vertical="center" wrapText="1"/>
      <protection locked="0"/>
    </xf>
    <xf numFmtId="166" fontId="31" fillId="0" borderId="6" xfId="0" applyNumberFormat="1" applyFont="1" applyFill="1" applyBorder="1" applyAlignment="1" applyProtection="1">
      <alignment horizontal="right" vertical="center" wrapText="1"/>
      <protection locked="0"/>
    </xf>
    <xf numFmtId="166" fontId="31" fillId="0" borderId="7" xfId="0" applyNumberFormat="1" applyFont="1" applyFill="1" applyBorder="1" applyAlignment="1" applyProtection="1">
      <alignment horizontal="right" vertical="center" wrapText="1"/>
      <protection locked="0"/>
    </xf>
    <xf numFmtId="166" fontId="31" fillId="0" borderId="3"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166" fontId="31" fillId="0" borderId="1" xfId="0" applyNumberFormat="1"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justify" vertical="center" wrapText="1"/>
    </xf>
    <xf numFmtId="0" fontId="11" fillId="0" borderId="1" xfId="0" applyNumberFormat="1" applyFont="1" applyFill="1" applyBorder="1" applyAlignment="1" applyProtection="1">
      <alignment horizontal="left"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0" fontId="10" fillId="0" borderId="1" xfId="23" applyFont="1" applyFill="1" applyBorder="1" applyAlignment="1" applyProtection="1">
      <alignment horizontal="left" vertical="center"/>
      <protection locked="0"/>
    </xf>
    <xf numFmtId="174" fontId="23" fillId="0" borderId="6" xfId="23" applyNumberFormat="1" applyFont="1" applyFill="1" applyBorder="1" applyAlignment="1" applyProtection="1">
      <alignment horizontal="center" vertical="center"/>
      <protection locked="0"/>
    </xf>
    <xf numFmtId="174" fontId="23" fillId="0" borderId="7" xfId="23" applyNumberFormat="1" applyFont="1" applyFill="1" applyBorder="1" applyAlignment="1" applyProtection="1">
      <alignment horizontal="center" vertical="center"/>
      <protection locked="0"/>
    </xf>
    <xf numFmtId="174" fontId="23" fillId="0" borderId="3" xfId="23" applyNumberFormat="1" applyFont="1" applyFill="1" applyBorder="1" applyAlignment="1" applyProtection="1">
      <alignment horizontal="center" vertical="center"/>
      <protection locked="0"/>
    </xf>
    <xf numFmtId="174" fontId="22" fillId="0" borderId="6" xfId="23" applyNumberFormat="1" applyFont="1" applyFill="1" applyBorder="1" applyAlignment="1" applyProtection="1">
      <alignment horizontal="center" vertical="center"/>
      <protection locked="0"/>
    </xf>
    <xf numFmtId="174" fontId="22" fillId="0" borderId="7" xfId="23" applyNumberFormat="1" applyFont="1" applyFill="1" applyBorder="1" applyAlignment="1" applyProtection="1">
      <alignment horizontal="center" vertical="center"/>
      <protection locked="0"/>
    </xf>
    <xf numFmtId="174" fontId="22" fillId="0" borderId="3" xfId="23" applyNumberFormat="1" applyFont="1" applyFill="1" applyBorder="1" applyAlignment="1" applyProtection="1">
      <alignment horizontal="center" vertical="center"/>
      <protection locked="0"/>
    </xf>
    <xf numFmtId="3" fontId="23" fillId="0" borderId="6" xfId="23" applyNumberFormat="1" applyFont="1" applyFill="1" applyBorder="1" applyAlignment="1" applyProtection="1">
      <alignment horizontal="center" vertical="center"/>
      <protection locked="0"/>
    </xf>
    <xf numFmtId="3" fontId="23" fillId="0" borderId="7" xfId="23" applyNumberFormat="1" applyFont="1" applyFill="1" applyBorder="1" applyAlignment="1" applyProtection="1">
      <alignment horizontal="center" vertical="center"/>
      <protection locked="0"/>
    </xf>
    <xf numFmtId="3" fontId="23" fillId="0" borderId="3" xfId="23" applyNumberFormat="1" applyFont="1" applyFill="1" applyBorder="1" applyAlignment="1" applyProtection="1">
      <alignment horizontal="center" vertical="center"/>
      <protection locked="0"/>
    </xf>
    <xf numFmtId="174" fontId="23" fillId="0" borderId="6" xfId="23" applyNumberFormat="1" applyFont="1" applyFill="1" applyBorder="1" applyAlignment="1" applyProtection="1">
      <alignment horizontal="right" vertical="center"/>
      <protection locked="0"/>
    </xf>
    <xf numFmtId="174" fontId="23" fillId="0" borderId="7" xfId="23" applyNumberFormat="1" applyFont="1" applyFill="1" applyBorder="1" applyAlignment="1" applyProtection="1">
      <alignment horizontal="right" vertical="center"/>
      <protection locked="0"/>
    </xf>
    <xf numFmtId="174" fontId="23" fillId="0" borderId="3" xfId="23" applyNumberFormat="1" applyFont="1" applyFill="1" applyBorder="1" applyAlignment="1" applyProtection="1">
      <alignment horizontal="right" vertical="center"/>
      <protection locked="0"/>
    </xf>
    <xf numFmtId="0" fontId="21" fillId="0" borderId="0" xfId="23" applyFont="1" applyAlignment="1" applyProtection="1">
      <alignment horizontal="right" vertical="center"/>
      <protection locked="0"/>
    </xf>
    <xf numFmtId="0" fontId="45" fillId="0" borderId="0" xfId="0" applyFont="1" applyAlignment="1">
      <alignment horizontal="right"/>
    </xf>
    <xf numFmtId="0" fontId="11" fillId="10" borderId="1" xfId="0" applyFont="1" applyFill="1" applyBorder="1" applyAlignment="1" applyProtection="1">
      <alignment horizontal="center" vertical="center" wrapText="1"/>
    </xf>
    <xf numFmtId="0" fontId="55" fillId="0" borderId="7" xfId="0" applyFont="1" applyBorder="1" applyAlignment="1">
      <alignment horizontal="left" vertical="center" wrapText="1"/>
    </xf>
    <xf numFmtId="0" fontId="55" fillId="4" borderId="19" xfId="0" applyFont="1" applyFill="1" applyBorder="1" applyAlignment="1">
      <alignment horizontal="justify" vertical="center" wrapText="1"/>
    </xf>
    <xf numFmtId="0" fontId="55" fillId="4" borderId="19" xfId="0" applyFont="1" applyFill="1" applyBorder="1" applyAlignment="1">
      <alignment horizontal="justify" vertical="center"/>
    </xf>
    <xf numFmtId="0" fontId="55" fillId="17" borderId="1" xfId="0" applyFont="1" applyFill="1" applyBorder="1" applyAlignment="1">
      <alignment horizontal="justify" vertical="center" wrapText="1"/>
    </xf>
    <xf numFmtId="0" fontId="55" fillId="4" borderId="19" xfId="0" applyFont="1" applyFill="1" applyBorder="1" applyAlignment="1">
      <alignment horizontal="left" vertical="center" wrapText="1"/>
    </xf>
    <xf numFmtId="0" fontId="55" fillId="17" borderId="6" xfId="0" applyFont="1" applyFill="1" applyBorder="1" applyAlignment="1">
      <alignment horizontal="justify" vertical="center" wrapText="1"/>
    </xf>
    <xf numFmtId="0" fontId="55" fillId="17" borderId="7" xfId="0" applyFont="1" applyFill="1" applyBorder="1" applyAlignment="1">
      <alignment horizontal="justify" vertical="center" wrapText="1"/>
    </xf>
    <xf numFmtId="0" fontId="55" fillId="17" borderId="3" xfId="0" applyFont="1" applyFill="1" applyBorder="1" applyAlignment="1">
      <alignment horizontal="justify" vertical="center" wrapText="1"/>
    </xf>
    <xf numFmtId="0" fontId="47" fillId="0" borderId="1" xfId="0" applyFont="1" applyBorder="1" applyAlignment="1">
      <alignment horizontal="center" vertical="center"/>
    </xf>
    <xf numFmtId="0" fontId="1" fillId="17" borderId="1" xfId="0" applyFont="1" applyFill="1" applyBorder="1" applyAlignment="1">
      <alignment horizontal="justify" vertical="center" wrapText="1"/>
    </xf>
    <xf numFmtId="0" fontId="55" fillId="17" borderId="1" xfId="0" applyFont="1" applyFill="1" applyBorder="1" applyAlignment="1">
      <alignment horizontal="justify" vertical="center"/>
    </xf>
    <xf numFmtId="0" fontId="55" fillId="17" borderId="1" xfId="0" applyFont="1" applyFill="1" applyBorder="1" applyAlignment="1">
      <alignment horizontal="left" vertical="center" wrapText="1"/>
    </xf>
    <xf numFmtId="0" fontId="0" fillId="0" borderId="0" xfId="0" applyAlignment="1">
      <alignment horizontal="center"/>
    </xf>
    <xf numFmtId="0" fontId="55" fillId="17" borderId="6" xfId="0" applyFont="1" applyFill="1" applyBorder="1" applyAlignment="1">
      <alignment horizontal="left" vertical="center" wrapText="1"/>
    </xf>
    <xf numFmtId="0" fontId="55" fillId="17" borderId="7" xfId="0" applyFont="1" applyFill="1" applyBorder="1" applyAlignment="1">
      <alignment horizontal="left" vertical="center" wrapText="1"/>
    </xf>
    <xf numFmtId="0" fontId="55" fillId="17" borderId="3" xfId="0" applyFont="1" applyFill="1" applyBorder="1" applyAlignment="1">
      <alignment horizontal="left" vertical="center" wrapText="1"/>
    </xf>
    <xf numFmtId="0" fontId="47" fillId="0" borderId="2" xfId="0" applyFont="1" applyBorder="1" applyAlignment="1">
      <alignment horizontal="center" wrapText="1"/>
    </xf>
    <xf numFmtId="0" fontId="47" fillId="0" borderId="5" xfId="0" applyFont="1" applyBorder="1" applyAlignment="1">
      <alignment horizontal="center" wrapText="1"/>
    </xf>
    <xf numFmtId="0" fontId="47" fillId="0" borderId="6" xfId="0" applyFont="1" applyBorder="1" applyAlignment="1">
      <alignment horizontal="center" vertical="center" wrapText="1"/>
    </xf>
    <xf numFmtId="0" fontId="47" fillId="0" borderId="3" xfId="0" applyFont="1" applyBorder="1" applyAlignment="1">
      <alignment horizontal="center" vertical="center" wrapText="1"/>
    </xf>
    <xf numFmtId="0" fontId="22" fillId="0" borderId="1" xfId="23" applyFont="1" applyFill="1" applyBorder="1" applyAlignment="1" applyProtection="1">
      <alignment horizontal="center" vertical="center"/>
      <protection locked="0"/>
    </xf>
    <xf numFmtId="0" fontId="52" fillId="0" borderId="0" xfId="0" applyFont="1" applyAlignment="1">
      <alignment horizontal="left" wrapText="1"/>
    </xf>
    <xf numFmtId="0" fontId="55" fillId="10" borderId="20" xfId="0" applyFont="1" applyFill="1" applyBorder="1" applyAlignment="1">
      <alignment horizontal="left" vertical="center" wrapText="1"/>
    </xf>
    <xf numFmtId="0" fontId="47" fillId="0" borderId="0" xfId="0" applyFont="1" applyAlignment="1">
      <alignment horizontal="center" vertical="center"/>
    </xf>
    <xf numFmtId="0" fontId="11" fillId="10" borderId="1" xfId="23" applyFont="1" applyFill="1" applyBorder="1" applyAlignment="1" applyProtection="1">
      <alignment horizontal="center" vertical="center"/>
      <protection locked="0"/>
    </xf>
    <xf numFmtId="9" fontId="11" fillId="0" borderId="1" xfId="23" applyNumberFormat="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173" fontId="12" fillId="0" borderId="1" xfId="0" applyNumberFormat="1" applyFont="1" applyFill="1" applyBorder="1" applyAlignment="1" applyProtection="1">
      <alignment horizontal="right" vertical="center" wrapText="1"/>
      <protection locked="0"/>
    </xf>
    <xf numFmtId="0" fontId="11" fillId="0" borderId="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173" fontId="31" fillId="9" borderId="1" xfId="0" applyNumberFormat="1" applyFont="1" applyFill="1" applyBorder="1" applyAlignment="1" applyProtection="1">
      <alignment horizontal="right" vertical="center" wrapText="1"/>
      <protection locked="0"/>
    </xf>
    <xf numFmtId="166" fontId="11" fillId="0" borderId="1" xfId="0" applyNumberFormat="1" applyFont="1" applyFill="1" applyBorder="1" applyAlignment="1" applyProtection="1">
      <alignment horizontal="right" vertical="center" wrapText="1"/>
      <protection locked="0"/>
    </xf>
    <xf numFmtId="0" fontId="16" fillId="4" borderId="1" xfId="23" applyFont="1" applyFill="1" applyBorder="1" applyAlignment="1" applyProtection="1">
      <alignment horizontal="center" vertical="center"/>
      <protection locked="0"/>
    </xf>
    <xf numFmtId="173" fontId="31" fillId="0" borderId="1" xfId="0" applyNumberFormat="1" applyFont="1" applyFill="1" applyBorder="1" applyAlignment="1" applyProtection="1">
      <alignment horizontal="right" vertical="center" wrapText="1"/>
      <protection locked="0"/>
    </xf>
    <xf numFmtId="173" fontId="12" fillId="0" borderId="1" xfId="24" applyNumberFormat="1" applyFont="1" applyFill="1" applyBorder="1" applyAlignment="1" applyProtection="1">
      <alignment horizontal="right" vertical="center" wrapText="1"/>
      <protection locked="0"/>
    </xf>
    <xf numFmtId="166" fontId="12" fillId="9" borderId="1" xfId="24" applyNumberFormat="1" applyFont="1" applyFill="1" applyBorder="1" applyAlignment="1" applyProtection="1">
      <alignment horizontal="right" vertical="center" wrapText="1"/>
      <protection locked="0"/>
    </xf>
    <xf numFmtId="0"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6" xfId="0" applyNumberFormat="1" applyFont="1" applyFill="1" applyBorder="1" applyAlignment="1" applyProtection="1">
      <alignment horizontal="justify" vertical="center" wrapText="1"/>
    </xf>
    <xf numFmtId="0" fontId="12" fillId="0" borderId="3" xfId="0" applyNumberFormat="1" applyFont="1" applyFill="1" applyBorder="1" applyAlignment="1" applyProtection="1">
      <alignment horizontal="justify" vertical="center" wrapText="1"/>
    </xf>
    <xf numFmtId="0" fontId="4" fillId="0" borderId="0" xfId="23" applyFont="1" applyAlignment="1" applyProtection="1">
      <alignment horizontal="right" vertical="center"/>
      <protection locked="0"/>
    </xf>
    <xf numFmtId="0" fontId="7" fillId="0" borderId="0" xfId="23" applyFont="1" applyFill="1" applyAlignment="1" applyProtection="1">
      <alignment horizontal="right" vertical="center"/>
      <protection locked="0"/>
    </xf>
    <xf numFmtId="166" fontId="12" fillId="0" borderId="6" xfId="0" applyNumberFormat="1" applyFont="1" applyFill="1" applyBorder="1" applyAlignment="1" applyProtection="1">
      <alignment horizontal="right" vertical="center" wrapText="1"/>
      <protection locked="0"/>
    </xf>
    <xf numFmtId="166" fontId="12" fillId="0" borderId="3" xfId="0" applyNumberFormat="1" applyFont="1" applyFill="1" applyBorder="1" applyAlignment="1" applyProtection="1">
      <alignment horizontal="right" vertical="center" wrapText="1"/>
      <protection locked="0"/>
    </xf>
    <xf numFmtId="173" fontId="31" fillId="9" borderId="6" xfId="0" applyNumberFormat="1" applyFont="1" applyFill="1" applyBorder="1" applyAlignment="1" applyProtection="1">
      <alignment horizontal="right" vertical="center" wrapText="1"/>
      <protection locked="0"/>
    </xf>
    <xf numFmtId="173" fontId="31" fillId="9" borderId="3" xfId="0" applyNumberFormat="1" applyFont="1" applyFill="1" applyBorder="1" applyAlignment="1" applyProtection="1">
      <alignment horizontal="right" vertical="center" wrapText="1"/>
      <protection locked="0"/>
    </xf>
    <xf numFmtId="166" fontId="12" fillId="0" borderId="6" xfId="0" applyNumberFormat="1" applyFont="1" applyFill="1" applyBorder="1" applyAlignment="1" applyProtection="1">
      <alignment horizontal="center" vertical="center" wrapText="1"/>
      <protection locked="0"/>
    </xf>
    <xf numFmtId="166" fontId="12" fillId="0" borderId="3" xfId="0" applyNumberFormat="1" applyFont="1" applyFill="1" applyBorder="1" applyAlignment="1" applyProtection="1">
      <alignment horizontal="center" vertical="center" wrapText="1"/>
      <protection locked="0"/>
    </xf>
    <xf numFmtId="0" fontId="55" fillId="17" borderId="1" xfId="0" applyFont="1" applyFill="1" applyBorder="1" applyAlignment="1">
      <alignment horizontal="left" vertical="center"/>
    </xf>
    <xf numFmtId="0" fontId="47" fillId="0" borderId="2" xfId="0" applyFont="1" applyBorder="1" applyAlignment="1">
      <alignment horizontal="center" vertical="center" wrapText="1"/>
    </xf>
    <xf numFmtId="0" fontId="47" fillId="0" borderId="5" xfId="0" applyFont="1" applyBorder="1" applyAlignment="1">
      <alignment horizontal="center" vertical="center" wrapText="1"/>
    </xf>
    <xf numFmtId="0" fontId="33" fillId="0" borderId="0" xfId="0" applyFont="1" applyAlignment="1">
      <alignment horizontal="left" vertical="center" wrapText="1"/>
    </xf>
    <xf numFmtId="0" fontId="56" fillId="0" borderId="21" xfId="0" applyFont="1" applyBorder="1" applyAlignment="1">
      <alignment horizontal="left" vertical="center" wrapText="1"/>
    </xf>
    <xf numFmtId="0" fontId="33" fillId="10" borderId="20" xfId="0" applyFont="1" applyFill="1" applyBorder="1" applyAlignment="1">
      <alignment horizontal="left" vertical="center" wrapText="1"/>
    </xf>
    <xf numFmtId="0" fontId="33" fillId="10" borderId="20" xfId="0" applyFont="1" applyFill="1" applyBorder="1" applyAlignment="1">
      <alignment horizontal="left" vertical="center"/>
    </xf>
    <xf numFmtId="0" fontId="55" fillId="4" borderId="19" xfId="0" applyFont="1" applyFill="1" applyBorder="1" applyAlignment="1">
      <alignment horizontal="left" vertical="center"/>
    </xf>
    <xf numFmtId="0" fontId="33" fillId="0" borderId="0" xfId="0" applyFont="1" applyAlignment="1">
      <alignment horizontal="center"/>
    </xf>
    <xf numFmtId="0" fontId="17" fillId="4" borderId="1" xfId="23" applyFont="1" applyFill="1" applyBorder="1" applyAlignment="1" applyProtection="1">
      <alignment horizontal="center"/>
      <protection locked="0"/>
    </xf>
    <xf numFmtId="0" fontId="19" fillId="4" borderId="1" xfId="23"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0" fontId="20" fillId="14" borderId="1" xfId="23" applyFont="1" applyFill="1" applyBorder="1" applyAlignment="1" applyProtection="1">
      <alignment horizontal="center" vertical="center" wrapText="1"/>
    </xf>
    <xf numFmtId="0" fontId="20" fillId="0" borderId="1" xfId="23" applyFont="1" applyFill="1" applyBorder="1" applyAlignment="1" applyProtection="1">
      <alignment horizontal="center" vertical="center" wrapText="1"/>
    </xf>
    <xf numFmtId="165" fontId="20" fillId="0" borderId="1" xfId="0" applyNumberFormat="1" applyFont="1" applyFill="1" applyBorder="1" applyAlignment="1" applyProtection="1">
      <alignment horizontal="left" vertical="center" wrapText="1"/>
    </xf>
    <xf numFmtId="0" fontId="18" fillId="0" borderId="1" xfId="23" applyFont="1" applyFill="1" applyBorder="1" applyAlignment="1" applyProtection="1">
      <alignment horizontal="left" vertical="center"/>
      <protection locked="0"/>
    </xf>
    <xf numFmtId="0" fontId="19" fillId="4" borderId="1" xfId="23" applyFont="1" applyFill="1" applyBorder="1" applyAlignment="1" applyProtection="1">
      <alignment horizontal="center" vertical="center" wrapText="1"/>
      <protection locked="0"/>
    </xf>
    <xf numFmtId="164" fontId="19" fillId="4" borderId="1" xfId="23" applyNumberFormat="1" applyFont="1" applyFill="1" applyBorder="1" applyAlignment="1" applyProtection="1">
      <alignment horizontal="center" vertical="center" wrapText="1"/>
      <protection locked="0"/>
    </xf>
    <xf numFmtId="165" fontId="20" fillId="9" borderId="6" xfId="0" applyNumberFormat="1" applyFont="1" applyFill="1" applyBorder="1" applyAlignment="1" applyProtection="1">
      <alignment horizontal="left" vertical="center" wrapText="1"/>
    </xf>
    <xf numFmtId="165" fontId="20" fillId="9" borderId="3"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66" fontId="20" fillId="0" borderId="1" xfId="0" applyNumberFormat="1" applyFont="1" applyFill="1" applyBorder="1" applyAlignment="1" applyProtection="1">
      <alignment horizontal="right" vertical="center" wrapText="1"/>
      <protection locked="0"/>
    </xf>
    <xf numFmtId="0" fontId="19" fillId="15" borderId="1" xfId="0" applyFont="1" applyFill="1" applyBorder="1" applyAlignment="1" applyProtection="1">
      <alignment horizontal="center" vertical="center" wrapText="1"/>
    </xf>
    <xf numFmtId="166" fontId="36" fillId="0" borderId="1" xfId="0" applyNumberFormat="1" applyFont="1" applyFill="1" applyBorder="1" applyAlignment="1" applyProtection="1">
      <alignment horizontal="center" vertical="center" wrapText="1"/>
      <protection locked="0"/>
    </xf>
    <xf numFmtId="166" fontId="20" fillId="0" borderId="6" xfId="0" applyNumberFormat="1" applyFont="1" applyFill="1" applyBorder="1" applyAlignment="1" applyProtection="1">
      <alignment horizontal="right" vertical="center" wrapText="1"/>
      <protection locked="0"/>
    </xf>
    <xf numFmtId="166" fontId="20" fillId="0" borderId="3" xfId="0" applyNumberFormat="1" applyFont="1" applyFill="1" applyBorder="1" applyAlignment="1" applyProtection="1">
      <alignment horizontal="right" vertical="center" wrapText="1"/>
      <protection locked="0"/>
    </xf>
    <xf numFmtId="0" fontId="20" fillId="0" borderId="1" xfId="23" applyFont="1" applyFill="1" applyBorder="1" applyAlignment="1" applyProtection="1">
      <alignment horizontal="left" vertical="center" wrapText="1"/>
    </xf>
    <xf numFmtId="0" fontId="24" fillId="0" borderId="0" xfId="23" applyFont="1" applyFill="1" applyAlignment="1" applyProtection="1">
      <alignment horizontal="right" vertical="center"/>
      <protection locked="0"/>
    </xf>
    <xf numFmtId="0" fontId="17" fillId="0" borderId="0" xfId="23" applyFont="1" applyFill="1" applyBorder="1" applyAlignment="1" applyProtection="1">
      <alignment horizontal="right" vertical="center"/>
      <protection locked="0"/>
    </xf>
    <xf numFmtId="0" fontId="30" fillId="0" borderId="0" xfId="23" applyFont="1" applyFill="1" applyAlignment="1" applyProtection="1">
      <alignment horizontal="right" vertical="center"/>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23" applyFont="1" applyFill="1" applyBorder="1" applyAlignment="1" applyProtection="1">
      <alignment horizontal="left" vertical="center"/>
      <protection locked="0"/>
    </xf>
    <xf numFmtId="0" fontId="20" fillId="14" borderId="1" xfId="0" applyFont="1" applyFill="1" applyBorder="1" applyAlignment="1" applyProtection="1">
      <alignment horizontal="center" vertical="center" wrapText="1"/>
    </xf>
    <xf numFmtId="0" fontId="4" fillId="0" borderId="6" xfId="23" applyFont="1" applyFill="1" applyBorder="1" applyAlignment="1" applyProtection="1">
      <alignment horizontal="center" vertical="center" wrapText="1"/>
      <protection locked="0"/>
    </xf>
    <xf numFmtId="0" fontId="4" fillId="0" borderId="3" xfId="23" applyFont="1" applyFill="1" applyBorder="1" applyAlignment="1" applyProtection="1">
      <alignment horizontal="center" vertical="center" wrapText="1"/>
      <protection locked="0"/>
    </xf>
    <xf numFmtId="0" fontId="1" fillId="10" borderId="20" xfId="23" applyFont="1" applyFill="1" applyBorder="1" applyAlignment="1" applyProtection="1">
      <alignment horizontal="left" vertical="center" wrapText="1"/>
      <protection locked="0"/>
    </xf>
    <xf numFmtId="0" fontId="1" fillId="0" borderId="19"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3" fillId="0" borderId="19" xfId="23" applyFont="1" applyFill="1" applyBorder="1" applyAlignment="1" applyProtection="1">
      <alignment horizontal="center"/>
      <protection locked="0"/>
    </xf>
    <xf numFmtId="0" fontId="3" fillId="0" borderId="0" xfId="23" applyFont="1" applyFill="1" applyBorder="1" applyAlignment="1" applyProtection="1">
      <alignment horizontal="center"/>
      <protection locked="0"/>
    </xf>
    <xf numFmtId="0" fontId="21" fillId="0" borderId="1" xfId="0" applyNumberFormat="1" applyFont="1" applyFill="1" applyBorder="1" applyAlignment="1" applyProtection="1">
      <alignment horizontal="left" vertical="center" wrapText="1"/>
    </xf>
    <xf numFmtId="0" fontId="4" fillId="4" borderId="1" xfId="23" applyFont="1" applyFill="1" applyBorder="1" applyAlignment="1" applyProtection="1">
      <alignment horizontal="center"/>
      <protection locked="0"/>
    </xf>
    <xf numFmtId="0" fontId="21" fillId="0" borderId="1" xfId="23" applyFont="1" applyFill="1" applyBorder="1" applyAlignment="1" applyProtection="1">
      <alignment horizontal="left" vertical="center"/>
      <protection locked="0"/>
    </xf>
    <xf numFmtId="0" fontId="21" fillId="4" borderId="1" xfId="23" applyFont="1" applyFill="1" applyBorder="1" applyAlignment="1" applyProtection="1">
      <alignment horizontal="center" vertical="center"/>
      <protection locked="0"/>
    </xf>
    <xf numFmtId="0" fontId="21" fillId="4" borderId="1" xfId="23" applyFont="1" applyFill="1" applyBorder="1" applyAlignment="1" applyProtection="1">
      <alignment horizontal="center" vertical="center" wrapText="1"/>
      <protection locked="0"/>
    </xf>
    <xf numFmtId="164" fontId="21" fillId="4" borderId="1" xfId="23" applyNumberFormat="1" applyFont="1" applyFill="1" applyBorder="1" applyAlignment="1" applyProtection="1">
      <alignment horizontal="center" vertical="center" wrapText="1"/>
      <protection locked="0"/>
    </xf>
    <xf numFmtId="165" fontId="67" fillId="9" borderId="6" xfId="0" applyNumberFormat="1" applyFont="1" applyFill="1" applyBorder="1" applyAlignment="1" applyProtection="1">
      <alignment horizontal="left" vertical="center" wrapText="1"/>
    </xf>
    <xf numFmtId="165" fontId="67" fillId="9" borderId="3" xfId="0" applyNumberFormat="1" applyFont="1" applyFill="1" applyBorder="1" applyAlignment="1" applyProtection="1">
      <alignment horizontal="left" vertical="center" wrapText="1"/>
    </xf>
    <xf numFmtId="166" fontId="68" fillId="0" borderId="1" xfId="0" applyNumberFormat="1" applyFont="1" applyFill="1" applyBorder="1" applyAlignment="1" applyProtection="1">
      <alignment horizontal="center" vertical="center" wrapText="1"/>
      <protection locked="0"/>
    </xf>
    <xf numFmtId="0" fontId="4" fillId="0" borderId="1" xfId="23" applyFont="1" applyFill="1" applyBorder="1" applyAlignment="1" applyProtection="1">
      <alignment horizontal="center"/>
      <protection locked="0"/>
    </xf>
    <xf numFmtId="166" fontId="1" fillId="17" borderId="1" xfId="23" applyNumberFormat="1" applyFont="1" applyFill="1" applyBorder="1" applyAlignment="1" applyProtection="1">
      <alignment horizontal="center" vertical="center" wrapText="1"/>
      <protection locked="0"/>
    </xf>
    <xf numFmtId="0" fontId="1" fillId="17" borderId="1" xfId="23" applyFont="1" applyFill="1" applyBorder="1" applyAlignment="1" applyProtection="1">
      <alignment horizontal="left" vertical="center" wrapText="1"/>
      <protection locked="0"/>
    </xf>
    <xf numFmtId="166" fontId="67" fillId="0" borderId="1" xfId="0" applyNumberFormat="1" applyFont="1" applyFill="1" applyBorder="1" applyAlignment="1" applyProtection="1">
      <alignment horizontal="right" vertical="center" wrapText="1"/>
      <protection locked="0"/>
    </xf>
    <xf numFmtId="165" fontId="67" fillId="0" borderId="1" xfId="0" applyNumberFormat="1" applyFont="1" applyFill="1" applyBorder="1" applyAlignment="1" applyProtection="1">
      <alignment horizontal="center" vertical="center" wrapText="1"/>
    </xf>
    <xf numFmtId="0" fontId="67" fillId="14" borderId="1" xfId="23" applyFont="1" applyFill="1" applyBorder="1" applyAlignment="1" applyProtection="1">
      <alignment horizontal="center" vertical="center" wrapText="1"/>
    </xf>
    <xf numFmtId="0" fontId="67" fillId="0" borderId="1" xfId="23" applyFont="1" applyFill="1" applyBorder="1" applyAlignment="1" applyProtection="1">
      <alignment horizontal="center" vertical="center" wrapText="1"/>
    </xf>
    <xf numFmtId="0" fontId="4" fillId="0" borderId="2" xfId="23" applyFont="1" applyFill="1" applyBorder="1" applyAlignment="1" applyProtection="1">
      <alignment horizontal="center" wrapText="1"/>
      <protection locked="0"/>
    </xf>
    <xf numFmtId="0" fontId="4" fillId="0" borderId="5" xfId="23" applyFont="1" applyFill="1" applyBorder="1" applyAlignment="1" applyProtection="1">
      <alignment horizontal="center" wrapText="1"/>
      <protection locked="0"/>
    </xf>
    <xf numFmtId="166" fontId="67" fillId="0" borderId="6" xfId="0" applyNumberFormat="1" applyFont="1" applyFill="1" applyBorder="1" applyAlignment="1" applyProtection="1">
      <alignment horizontal="right" vertical="center" wrapText="1"/>
      <protection locked="0"/>
    </xf>
    <xf numFmtId="166" fontId="67" fillId="0" borderId="3" xfId="0" applyNumberFormat="1" applyFont="1" applyFill="1" applyBorder="1" applyAlignment="1" applyProtection="1">
      <alignment horizontal="right" vertical="center" wrapText="1"/>
      <protection locked="0"/>
    </xf>
    <xf numFmtId="0" fontId="21" fillId="0" borderId="1" xfId="0" applyFont="1" applyFill="1" applyBorder="1" applyAlignment="1" applyProtection="1">
      <alignment horizontal="center" vertical="center" wrapText="1"/>
    </xf>
    <xf numFmtId="165" fontId="67" fillId="0" borderId="1" xfId="0" applyNumberFormat="1" applyFont="1" applyFill="1" applyBorder="1" applyAlignment="1" applyProtection="1">
      <alignment horizontal="left" vertical="center" wrapText="1"/>
    </xf>
    <xf numFmtId="0" fontId="67" fillId="0" borderId="1" xfId="23" applyFont="1" applyFill="1" applyBorder="1" applyAlignment="1" applyProtection="1">
      <alignment horizontal="left" vertical="center" wrapText="1"/>
    </xf>
    <xf numFmtId="0" fontId="67" fillId="14" borderId="1" xfId="0" applyFont="1" applyFill="1" applyBorder="1" applyAlignment="1" applyProtection="1">
      <alignment horizontal="center" vertical="center" wrapText="1"/>
    </xf>
    <xf numFmtId="0" fontId="67" fillId="0" borderId="1" xfId="0" applyFont="1" applyFill="1" applyBorder="1" applyAlignment="1" applyProtection="1">
      <alignment horizontal="center" vertical="center" wrapText="1"/>
    </xf>
    <xf numFmtId="0" fontId="1" fillId="4" borderId="19" xfId="23" applyFont="1" applyFill="1" applyBorder="1" applyAlignment="1" applyProtection="1">
      <alignment horizontal="left" vertical="center" wrapText="1"/>
      <protection locked="0"/>
    </xf>
    <xf numFmtId="0" fontId="1" fillId="0" borderId="19" xfId="23" applyFont="1" applyFill="1" applyBorder="1" applyAlignment="1" applyProtection="1">
      <alignment horizontal="center" vertical="center" wrapText="1"/>
      <protection locked="0"/>
    </xf>
    <xf numFmtId="0" fontId="1" fillId="0" borderId="0" xfId="23" applyFont="1" applyFill="1" applyBorder="1" applyAlignment="1" applyProtection="1">
      <alignment horizontal="center" vertical="center" wrapText="1"/>
      <protection locked="0"/>
    </xf>
    <xf numFmtId="0" fontId="1" fillId="17" borderId="6" xfId="23" applyFont="1" applyFill="1" applyBorder="1" applyAlignment="1" applyProtection="1">
      <alignment horizontal="left" vertical="center" wrapText="1"/>
      <protection locked="0"/>
    </xf>
    <xf numFmtId="0" fontId="1" fillId="17" borderId="3" xfId="23" applyFont="1" applyFill="1" applyBorder="1" applyAlignment="1" applyProtection="1">
      <alignment horizontal="left" vertical="center" wrapText="1"/>
      <protection locked="0"/>
    </xf>
    <xf numFmtId="0" fontId="67" fillId="10" borderId="1" xfId="0"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3" fontId="12" fillId="0" borderId="6" xfId="0" applyNumberFormat="1" applyFont="1" applyFill="1" applyBorder="1" applyAlignment="1" applyProtection="1">
      <alignment horizontal="center" vertical="center" wrapText="1"/>
    </xf>
    <xf numFmtId="3" fontId="12" fillId="0" borderId="7" xfId="0" applyNumberFormat="1" applyFont="1" applyFill="1" applyBorder="1" applyAlignment="1" applyProtection="1">
      <alignment horizontal="center" vertical="center" wrapText="1"/>
    </xf>
    <xf numFmtId="3" fontId="12" fillId="0" borderId="3" xfId="0" applyNumberFormat="1" applyFont="1" applyFill="1" applyBorder="1" applyAlignment="1" applyProtection="1">
      <alignment horizontal="center" vertical="center" wrapText="1"/>
    </xf>
    <xf numFmtId="166" fontId="12" fillId="0" borderId="7" xfId="0" applyNumberFormat="1" applyFont="1" applyFill="1" applyBorder="1" applyAlignment="1" applyProtection="1">
      <alignment horizontal="center" vertical="center" wrapText="1"/>
      <protection locked="0"/>
    </xf>
    <xf numFmtId="0" fontId="11" fillId="15" borderId="6" xfId="0" applyFont="1" applyFill="1" applyBorder="1" applyAlignment="1" applyProtection="1">
      <alignment horizontal="center" vertical="center" wrapText="1"/>
    </xf>
    <xf numFmtId="0" fontId="11" fillId="15" borderId="7" xfId="0" applyFont="1" applyFill="1" applyBorder="1" applyAlignment="1" applyProtection="1">
      <alignment horizontal="center" vertical="center" wrapText="1"/>
    </xf>
    <xf numFmtId="0" fontId="11" fillId="15" borderId="3" xfId="0" applyFont="1" applyFill="1" applyBorder="1" applyAlignment="1" applyProtection="1">
      <alignment horizontal="center" vertical="center" wrapText="1"/>
    </xf>
    <xf numFmtId="166" fontId="11" fillId="0" borderId="6" xfId="0" applyNumberFormat="1" applyFont="1" applyFill="1" applyBorder="1" applyAlignment="1" applyProtection="1">
      <alignment horizontal="center" vertical="center" wrapText="1"/>
      <protection locked="0"/>
    </xf>
    <xf numFmtId="166" fontId="11" fillId="0" borderId="7" xfId="0" applyNumberFormat="1" applyFont="1" applyFill="1" applyBorder="1" applyAlignment="1" applyProtection="1">
      <alignment horizontal="center" vertical="center" wrapText="1"/>
      <protection locked="0"/>
    </xf>
    <xf numFmtId="166" fontId="11" fillId="0" borderId="3" xfId="0" applyNumberFormat="1" applyFont="1" applyFill="1" applyBorder="1" applyAlignment="1" applyProtection="1">
      <alignment horizontal="center" vertical="center" wrapText="1"/>
      <protection locked="0"/>
    </xf>
    <xf numFmtId="3" fontId="11" fillId="9" borderId="1" xfId="0" applyNumberFormat="1" applyFont="1" applyFill="1" applyBorder="1" applyAlignment="1" applyProtection="1">
      <alignment horizontal="center" vertical="center" wrapText="1"/>
    </xf>
    <xf numFmtId="0" fontId="44" fillId="0" borderId="0" xfId="0" applyFont="1" applyAlignment="1">
      <alignment horizontal="right"/>
    </xf>
    <xf numFmtId="0" fontId="10" fillId="0" borderId="0" xfId="23" applyFont="1" applyFill="1" applyAlignment="1" applyProtection="1">
      <alignment horizontal="right" vertical="center"/>
      <protection locked="0"/>
    </xf>
    <xf numFmtId="0" fontId="38" fillId="0" borderId="0" xfId="23" applyFont="1" applyFill="1" applyBorder="1" applyAlignment="1" applyProtection="1">
      <alignment vertical="center"/>
      <protection locked="0"/>
    </xf>
    <xf numFmtId="0" fontId="11" fillId="0" borderId="6" xfId="0" applyNumberFormat="1" applyFont="1" applyFill="1" applyBorder="1" applyAlignment="1" applyProtection="1">
      <alignment horizontal="left" vertical="center" wrapText="1"/>
    </xf>
    <xf numFmtId="0" fontId="11"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11" fillId="15" borderId="1" xfId="0" applyFont="1" applyFill="1" applyBorder="1" applyAlignment="1" applyProtection="1">
      <alignment horizontal="center" vertical="center" wrapText="1"/>
    </xf>
    <xf numFmtId="165" fontId="12" fillId="9" borderId="1" xfId="0" applyNumberFormat="1" applyFont="1" applyFill="1" applyBorder="1" applyAlignment="1" applyProtection="1">
      <alignment horizontal="left" vertical="center" wrapText="1"/>
    </xf>
    <xf numFmtId="0" fontId="12" fillId="12" borderId="1" xfId="0"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1" fontId="12" fillId="0" borderId="17" xfId="29" applyNumberFormat="1" applyFont="1" applyFill="1" applyBorder="1" applyAlignment="1" applyProtection="1">
      <alignment horizontal="center" vertical="center" wrapText="1"/>
      <protection locked="0"/>
    </xf>
    <xf numFmtId="1" fontId="12" fillId="0" borderId="18" xfId="29" applyNumberFormat="1" applyFont="1" applyFill="1" applyBorder="1" applyAlignment="1" applyProtection="1">
      <alignment horizontal="center" vertical="center" wrapText="1"/>
      <protection locked="0"/>
    </xf>
    <xf numFmtId="166" fontId="12" fillId="0" borderId="1" xfId="23" applyNumberFormat="1" applyFont="1" applyFill="1" applyBorder="1" applyAlignment="1" applyProtection="1">
      <alignment horizontal="right" vertical="center" wrapText="1"/>
      <protection locked="0"/>
    </xf>
    <xf numFmtId="166" fontId="12" fillId="0" borderId="6" xfId="23" applyNumberFormat="1" applyFont="1" applyFill="1" applyBorder="1" applyAlignment="1" applyProtection="1">
      <alignment horizontal="right" vertical="center" wrapText="1"/>
      <protection locked="0"/>
    </xf>
    <xf numFmtId="166" fontId="12" fillId="0" borderId="3" xfId="23" applyNumberFormat="1" applyFont="1" applyFill="1" applyBorder="1" applyAlignment="1" applyProtection="1">
      <alignment horizontal="right" vertical="center" wrapText="1"/>
      <protection locked="0"/>
    </xf>
    <xf numFmtId="3" fontId="12" fillId="9" borderId="6" xfId="0" applyNumberFormat="1" applyFont="1" applyFill="1" applyBorder="1" applyAlignment="1" applyProtection="1">
      <alignment horizontal="center" vertical="center" wrapText="1"/>
    </xf>
    <xf numFmtId="3" fontId="12" fillId="9" borderId="7" xfId="0" applyNumberFormat="1" applyFont="1" applyFill="1" applyBorder="1" applyAlignment="1" applyProtection="1">
      <alignment horizontal="center" vertical="center" wrapText="1"/>
    </xf>
    <xf numFmtId="3" fontId="12" fillId="9" borderId="3" xfId="0" applyNumberFormat="1" applyFont="1" applyFill="1" applyBorder="1" applyAlignment="1" applyProtection="1">
      <alignment horizontal="center" vertical="center" wrapText="1"/>
    </xf>
    <xf numFmtId="0" fontId="33" fillId="10" borderId="0" xfId="0" applyFont="1" applyFill="1" applyAlignment="1">
      <alignment horizontal="left" vertical="center" wrapText="1"/>
    </xf>
    <xf numFmtId="0" fontId="39" fillId="0" borderId="19" xfId="0" applyFont="1" applyBorder="1" applyAlignment="1">
      <alignment horizontal="center"/>
    </xf>
    <xf numFmtId="0" fontId="39" fillId="0" borderId="0" xfId="0" applyFont="1" applyAlignment="1">
      <alignment horizontal="center"/>
    </xf>
    <xf numFmtId="0" fontId="56" fillId="0" borderId="7" xfId="0" applyFont="1" applyBorder="1" applyAlignment="1">
      <alignment horizontal="left" vertical="center" wrapText="1"/>
    </xf>
    <xf numFmtId="0" fontId="39" fillId="0" borderId="19" xfId="0" applyFont="1" applyFill="1" applyBorder="1" applyAlignment="1">
      <alignment horizontal="center" vertical="center" wrapText="1"/>
    </xf>
    <xf numFmtId="0" fontId="39" fillId="0" borderId="0" xfId="0" applyFont="1" applyFill="1" applyBorder="1" applyAlignment="1">
      <alignment horizontal="center" vertical="center" wrapText="1"/>
    </xf>
    <xf numFmtId="3" fontId="11" fillId="10" borderId="1" xfId="0" applyNumberFormat="1" applyFont="1" applyFill="1" applyBorder="1" applyAlignment="1" applyProtection="1">
      <alignment horizontal="center" vertical="center" wrapText="1"/>
    </xf>
    <xf numFmtId="3" fontId="12" fillId="10" borderId="6" xfId="0" applyNumberFormat="1" applyFont="1" applyFill="1" applyBorder="1" applyAlignment="1" applyProtection="1">
      <alignment horizontal="center" vertical="center" wrapText="1"/>
    </xf>
    <xf numFmtId="3" fontId="12" fillId="10" borderId="7" xfId="0" applyNumberFormat="1" applyFont="1" applyFill="1" applyBorder="1" applyAlignment="1" applyProtection="1">
      <alignment horizontal="center" vertical="center" wrapText="1"/>
    </xf>
    <xf numFmtId="3" fontId="12" fillId="10" borderId="3" xfId="0" applyNumberFormat="1" applyFont="1" applyFill="1" applyBorder="1" applyAlignment="1" applyProtection="1">
      <alignment horizontal="center" vertical="center" wrapText="1"/>
    </xf>
    <xf numFmtId="0" fontId="47" fillId="0" borderId="1" xfId="0" applyFont="1" applyBorder="1" applyAlignment="1">
      <alignment horizontal="center"/>
    </xf>
    <xf numFmtId="0" fontId="39" fillId="18" borderId="19" xfId="0" applyFont="1" applyFill="1" applyBorder="1" applyAlignment="1">
      <alignment horizontal="center" vertical="center" wrapText="1"/>
    </xf>
    <xf numFmtId="0" fontId="39" fillId="18" borderId="19" xfId="0" applyFont="1" applyFill="1" applyBorder="1" applyAlignment="1">
      <alignment horizontal="center" vertical="center"/>
    </xf>
    <xf numFmtId="0" fontId="39" fillId="18" borderId="19" xfId="0" applyFont="1" applyFill="1" applyBorder="1" applyAlignment="1">
      <alignment horizontal="left" vertical="center" wrapText="1"/>
    </xf>
    <xf numFmtId="0" fontId="39" fillId="18" borderId="19" xfId="0" applyFont="1" applyFill="1" applyBorder="1" applyAlignment="1">
      <alignment horizontal="left" vertical="center"/>
    </xf>
    <xf numFmtId="165" fontId="12" fillId="10" borderId="6" xfId="0" applyNumberFormat="1" applyFont="1" applyFill="1" applyBorder="1" applyAlignment="1" applyProtection="1">
      <alignment horizontal="center" vertical="center" wrapText="1"/>
    </xf>
    <xf numFmtId="165" fontId="12" fillId="10" borderId="3" xfId="0" applyNumberFormat="1" applyFont="1" applyFill="1" applyBorder="1" applyAlignment="1" applyProtection="1">
      <alignment horizontal="center" vertical="center" wrapText="1"/>
    </xf>
    <xf numFmtId="0" fontId="19" fillId="9" borderId="8" xfId="0" applyFont="1" applyFill="1" applyBorder="1" applyAlignment="1">
      <alignment horizontal="right" vertical="center" wrapText="1"/>
    </xf>
    <xf numFmtId="0" fontId="19" fillId="9" borderId="9" xfId="0" applyFont="1" applyFill="1" applyBorder="1" applyAlignment="1">
      <alignment horizontal="right" vertical="center" wrapText="1"/>
    </xf>
    <xf numFmtId="165" fontId="12" fillId="10" borderId="6" xfId="0" applyNumberFormat="1" applyFont="1" applyFill="1" applyBorder="1" applyAlignment="1" applyProtection="1">
      <alignment horizontal="left" vertical="center" wrapText="1"/>
    </xf>
    <xf numFmtId="165" fontId="12" fillId="10" borderId="3" xfId="0" applyNumberFormat="1" applyFont="1" applyFill="1" applyBorder="1" applyAlignment="1" applyProtection="1">
      <alignment horizontal="left" vertical="center" wrapText="1"/>
    </xf>
    <xf numFmtId="166" fontId="12" fillId="10" borderId="6" xfId="0" applyNumberFormat="1" applyFont="1" applyFill="1" applyBorder="1" applyAlignment="1" applyProtection="1">
      <alignment horizontal="right" vertical="center" wrapText="1"/>
      <protection locked="0"/>
    </xf>
    <xf numFmtId="166" fontId="12" fillId="10" borderId="3" xfId="0" applyNumberFormat="1" applyFont="1" applyFill="1" applyBorder="1" applyAlignment="1" applyProtection="1">
      <alignment horizontal="right" vertical="center" wrapText="1"/>
      <protection locked="0"/>
    </xf>
    <xf numFmtId="166" fontId="12" fillId="10" borderId="6" xfId="23" applyNumberFormat="1" applyFont="1" applyFill="1" applyBorder="1" applyAlignment="1" applyProtection="1">
      <alignment horizontal="right" vertical="center" wrapText="1"/>
      <protection locked="0"/>
    </xf>
    <xf numFmtId="166" fontId="12" fillId="10" borderId="3" xfId="23" applyNumberFormat="1" applyFont="1" applyFill="1" applyBorder="1" applyAlignment="1" applyProtection="1">
      <alignment horizontal="right" vertical="center" wrapText="1"/>
      <protection locked="0"/>
    </xf>
    <xf numFmtId="166" fontId="31" fillId="10" borderId="6" xfId="0" applyNumberFormat="1" applyFont="1" applyFill="1" applyBorder="1" applyAlignment="1" applyProtection="1">
      <alignment horizontal="right" vertical="center" wrapText="1"/>
      <protection locked="0"/>
    </xf>
    <xf numFmtId="166" fontId="31" fillId="10" borderId="3" xfId="0" applyNumberFormat="1" applyFont="1" applyFill="1" applyBorder="1" applyAlignment="1" applyProtection="1">
      <alignment horizontal="right" vertical="center" wrapText="1"/>
      <protection locked="0"/>
    </xf>
    <xf numFmtId="166" fontId="32" fillId="10" borderId="6" xfId="23" applyNumberFormat="1" applyFont="1" applyFill="1" applyBorder="1" applyAlignment="1" applyProtection="1">
      <alignment horizontal="right" vertical="center" wrapText="1"/>
      <protection locked="0"/>
    </xf>
    <xf numFmtId="166" fontId="32" fillId="10" borderId="3" xfId="23" applyNumberFormat="1" applyFont="1" applyFill="1" applyBorder="1" applyAlignment="1" applyProtection="1">
      <alignment horizontal="right" vertical="center" wrapText="1"/>
      <protection locked="0"/>
    </xf>
    <xf numFmtId="165" fontId="12" fillId="12" borderId="6" xfId="0" applyNumberFormat="1" applyFont="1" applyFill="1" applyBorder="1" applyAlignment="1" applyProtection="1">
      <alignment horizontal="justify" vertical="center" wrapText="1"/>
    </xf>
    <xf numFmtId="165" fontId="12" fillId="12" borderId="7" xfId="0" applyNumberFormat="1" applyFont="1" applyFill="1" applyBorder="1" applyAlignment="1" applyProtection="1">
      <alignment horizontal="justify" vertical="center" wrapText="1"/>
    </xf>
    <xf numFmtId="165" fontId="12" fillId="12" borderId="3" xfId="0" applyNumberFormat="1" applyFont="1" applyFill="1" applyBorder="1" applyAlignment="1" applyProtection="1">
      <alignment horizontal="justify" vertical="center" wrapText="1"/>
    </xf>
    <xf numFmtId="0" fontId="12" fillId="10" borderId="6" xfId="23" applyFont="1" applyFill="1" applyBorder="1" applyAlignment="1" applyProtection="1">
      <alignment horizontal="center" vertical="center" wrapText="1"/>
    </xf>
    <xf numFmtId="0" fontId="12" fillId="10" borderId="7" xfId="23" applyFont="1" applyFill="1" applyBorder="1" applyAlignment="1" applyProtection="1">
      <alignment horizontal="center" vertical="center" wrapText="1"/>
    </xf>
    <xf numFmtId="0" fontId="12" fillId="10" borderId="3" xfId="23" applyFont="1" applyFill="1" applyBorder="1" applyAlignment="1" applyProtection="1">
      <alignment horizontal="center" vertical="center" wrapText="1"/>
    </xf>
    <xf numFmtId="165" fontId="12" fillId="0" borderId="6" xfId="0" applyNumberFormat="1" applyFont="1" applyFill="1" applyBorder="1" applyAlignment="1" applyProtection="1">
      <alignment horizontal="justify" vertical="center" wrapText="1"/>
    </xf>
    <xf numFmtId="165" fontId="12" fillId="0" borderId="7" xfId="0" applyNumberFormat="1" applyFont="1" applyFill="1" applyBorder="1" applyAlignment="1" applyProtection="1">
      <alignment horizontal="justify" vertical="center" wrapText="1"/>
    </xf>
    <xf numFmtId="165" fontId="12" fillId="0" borderId="3" xfId="0" applyNumberFormat="1" applyFont="1" applyFill="1" applyBorder="1" applyAlignment="1" applyProtection="1">
      <alignment horizontal="justify" vertical="center" wrapText="1"/>
    </xf>
    <xf numFmtId="3" fontId="11" fillId="10" borderId="6" xfId="0" applyNumberFormat="1" applyFont="1" applyFill="1" applyBorder="1" applyAlignment="1" applyProtection="1">
      <alignment horizontal="center" vertical="center" wrapText="1"/>
    </xf>
    <xf numFmtId="3" fontId="11" fillId="10" borderId="3" xfId="0" applyNumberFormat="1" applyFont="1" applyFill="1" applyBorder="1" applyAlignment="1" applyProtection="1">
      <alignment horizontal="center" vertical="center" wrapText="1"/>
    </xf>
    <xf numFmtId="164" fontId="21" fillId="4" borderId="6" xfId="23" applyNumberFormat="1" applyFont="1" applyFill="1" applyBorder="1" applyAlignment="1" applyProtection="1">
      <alignment horizontal="center" vertical="center" wrapText="1"/>
      <protection locked="0"/>
    </xf>
    <xf numFmtId="164" fontId="21" fillId="4" borderId="3" xfId="23" applyNumberFormat="1" applyFont="1" applyFill="1" applyBorder="1" applyAlignment="1" applyProtection="1">
      <alignment horizontal="center" vertical="center" wrapText="1"/>
      <protection locked="0"/>
    </xf>
    <xf numFmtId="3" fontId="11" fillId="0" borderId="6"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166" fontId="40" fillId="0" borderId="6" xfId="0" applyNumberFormat="1" applyFont="1" applyFill="1" applyBorder="1" applyAlignment="1" applyProtection="1">
      <alignment horizontal="right" vertical="center" wrapText="1"/>
      <protection locked="0"/>
    </xf>
    <xf numFmtId="166" fontId="40" fillId="0" borderId="3" xfId="0" applyNumberFormat="1" applyFont="1" applyFill="1" applyBorder="1" applyAlignment="1" applyProtection="1">
      <alignment horizontal="right" vertical="center" wrapText="1"/>
      <protection locked="0"/>
    </xf>
    <xf numFmtId="166" fontId="39" fillId="0" borderId="6" xfId="23" applyNumberFormat="1" applyFont="1" applyFill="1" applyBorder="1" applyAlignment="1" applyProtection="1">
      <alignment horizontal="right" vertical="center" wrapText="1"/>
      <protection locked="0"/>
    </xf>
    <xf numFmtId="166" fontId="39" fillId="0" borderId="3" xfId="23" applyNumberFormat="1" applyFont="1" applyFill="1" applyBorder="1" applyAlignment="1" applyProtection="1">
      <alignment horizontal="right" vertical="center" wrapText="1"/>
      <protection locked="0"/>
    </xf>
    <xf numFmtId="166" fontId="9" fillId="0" borderId="6" xfId="23" applyNumberFormat="1" applyFont="1" applyFill="1" applyBorder="1" applyAlignment="1" applyProtection="1">
      <alignment horizontal="right" vertical="center" wrapText="1"/>
      <protection locked="0"/>
    </xf>
    <xf numFmtId="166" fontId="9" fillId="0" borderId="3" xfId="23" applyNumberFormat="1" applyFont="1" applyFill="1" applyBorder="1" applyAlignment="1" applyProtection="1">
      <alignment horizontal="right" vertical="center" wrapText="1"/>
      <protection locked="0"/>
    </xf>
    <xf numFmtId="166" fontId="9" fillId="0" borderId="6" xfId="0" applyNumberFormat="1" applyFont="1" applyFill="1" applyBorder="1" applyAlignment="1" applyProtection="1">
      <alignment horizontal="right" vertical="center" wrapText="1"/>
      <protection locked="0"/>
    </xf>
    <xf numFmtId="166" fontId="9" fillId="0" borderId="3" xfId="0" applyNumberFormat="1" applyFont="1" applyFill="1" applyBorder="1" applyAlignment="1" applyProtection="1">
      <alignment horizontal="right" vertical="center" wrapText="1"/>
      <protection locked="0"/>
    </xf>
    <xf numFmtId="0" fontId="51" fillId="0" borderId="6" xfId="0" applyFont="1" applyFill="1" applyBorder="1" applyAlignment="1" applyProtection="1">
      <alignment horizontal="center" vertical="center" wrapText="1"/>
    </xf>
    <xf numFmtId="0" fontId="51" fillId="0" borderId="7"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165" fontId="53" fillId="0" borderId="6" xfId="0" applyNumberFormat="1" applyFont="1" applyFill="1" applyBorder="1" applyAlignment="1" applyProtection="1">
      <alignment horizontal="left" vertical="center" wrapText="1"/>
    </xf>
    <xf numFmtId="165" fontId="53" fillId="0" borderId="3" xfId="0" applyNumberFormat="1" applyFont="1" applyFill="1" applyBorder="1" applyAlignment="1" applyProtection="1">
      <alignment horizontal="left" vertical="center" wrapText="1"/>
    </xf>
    <xf numFmtId="0" fontId="10" fillId="10" borderId="1" xfId="23" applyFont="1" applyFill="1" applyBorder="1" applyAlignment="1" applyProtection="1">
      <alignment horizontal="left" vertical="center"/>
      <protection locked="0"/>
    </xf>
    <xf numFmtId="0" fontId="0" fillId="10" borderId="0" xfId="0" applyFill="1" applyAlignment="1">
      <alignment horizontal="left" vertical="center" wrapText="1"/>
    </xf>
    <xf numFmtId="164" fontId="4" fillId="4" borderId="6" xfId="23" applyNumberFormat="1" applyFont="1" applyFill="1" applyBorder="1" applyAlignment="1" applyProtection="1">
      <alignment horizontal="center" vertical="center" wrapText="1"/>
      <protection locked="0"/>
    </xf>
    <xf numFmtId="164" fontId="4" fillId="4" borderId="3" xfId="23" applyNumberFormat="1" applyFont="1" applyFill="1" applyBorder="1" applyAlignment="1" applyProtection="1">
      <alignment horizontal="center" vertical="center" wrapText="1"/>
      <protection locked="0"/>
    </xf>
    <xf numFmtId="0" fontId="11" fillId="4" borderId="1" xfId="23" applyFont="1" applyFill="1" applyBorder="1" applyAlignment="1" applyProtection="1">
      <alignment horizontal="center"/>
      <protection locked="0"/>
    </xf>
    <xf numFmtId="0" fontId="19" fillId="9" borderId="0" xfId="23" applyFont="1" applyFill="1" applyAlignment="1" applyProtection="1">
      <alignment horizontal="right" vertical="center"/>
      <protection locked="0"/>
    </xf>
    <xf numFmtId="0" fontId="55" fillId="17" borderId="3" xfId="0" applyFont="1" applyFill="1" applyBorder="1" applyAlignment="1">
      <alignment horizontal="left" vertical="center"/>
    </xf>
    <xf numFmtId="0" fontId="46" fillId="0" borderId="6" xfId="0" applyFont="1" applyBorder="1" applyAlignment="1">
      <alignment horizontal="center" vertical="center" wrapText="1"/>
    </xf>
    <xf numFmtId="0" fontId="46" fillId="0" borderId="3" xfId="0" applyFont="1" applyBorder="1" applyAlignment="1">
      <alignment horizontal="center" vertical="center" wrapText="1"/>
    </xf>
    <xf numFmtId="166" fontId="12" fillId="0" borderId="7" xfId="23" applyNumberFormat="1" applyFont="1" applyFill="1" applyBorder="1" applyAlignment="1" applyProtection="1">
      <alignment horizontal="right" vertical="center" wrapText="1"/>
      <protection locked="0"/>
    </xf>
    <xf numFmtId="1" fontId="12" fillId="14" borderId="1" xfId="23" applyNumberFormat="1" applyFont="1" applyFill="1" applyBorder="1" applyAlignment="1" applyProtection="1">
      <alignment horizontal="center" vertical="center" wrapText="1"/>
    </xf>
    <xf numFmtId="166" fontId="11" fillId="0" borderId="6" xfId="23" applyNumberFormat="1" applyFont="1" applyFill="1" applyBorder="1" applyAlignment="1" applyProtection="1">
      <alignment horizontal="right" vertical="center" wrapText="1"/>
      <protection locked="0"/>
    </xf>
    <xf numFmtId="166" fontId="11" fillId="0" borderId="7" xfId="23" applyNumberFormat="1" applyFont="1" applyFill="1" applyBorder="1" applyAlignment="1" applyProtection="1">
      <alignment horizontal="right" vertical="center" wrapText="1"/>
      <protection locked="0"/>
    </xf>
    <xf numFmtId="166" fontId="11" fillId="0" borderId="3" xfId="23" applyNumberFormat="1" applyFont="1" applyFill="1" applyBorder="1" applyAlignment="1" applyProtection="1">
      <alignment horizontal="right" vertical="center" wrapText="1"/>
      <protection locked="0"/>
    </xf>
    <xf numFmtId="1" fontId="11" fillId="0" borderId="1" xfId="0" applyNumberFormat="1" applyFont="1" applyFill="1" applyBorder="1" applyAlignment="1" applyProtection="1">
      <alignment horizontal="center" vertical="center" wrapText="1"/>
    </xf>
    <xf numFmtId="9" fontId="11" fillId="0" borderId="6" xfId="33" applyFont="1" applyFill="1" applyBorder="1" applyAlignment="1" applyProtection="1">
      <alignment horizontal="center" vertical="center" wrapText="1"/>
    </xf>
    <xf numFmtId="9" fontId="11" fillId="0" borderId="7" xfId="33" applyFont="1" applyFill="1" applyBorder="1" applyAlignment="1" applyProtection="1">
      <alignment horizontal="center" vertical="center" wrapText="1"/>
    </xf>
    <xf numFmtId="9" fontId="11" fillId="0" borderId="3" xfId="33" applyFont="1" applyFill="1" applyBorder="1" applyAlignment="1" applyProtection="1">
      <alignment horizontal="center" vertical="center" wrapText="1"/>
    </xf>
    <xf numFmtId="165" fontId="32" fillId="0" borderId="1" xfId="0" applyNumberFormat="1" applyFont="1" applyFill="1" applyBorder="1" applyAlignment="1" applyProtection="1">
      <alignment horizontal="left" vertical="center" wrapText="1"/>
    </xf>
    <xf numFmtId="166" fontId="11" fillId="0" borderId="1" xfId="23" applyNumberFormat="1" applyFont="1" applyFill="1" applyBorder="1" applyAlignment="1" applyProtection="1">
      <alignment horizontal="right" vertical="center" wrapText="1"/>
      <protection locked="0"/>
    </xf>
    <xf numFmtId="1" fontId="11" fillId="0" borderId="6" xfId="23" applyNumberFormat="1" applyFont="1" applyFill="1" applyBorder="1" applyAlignment="1" applyProtection="1">
      <alignment horizontal="center" vertical="center" wrapText="1"/>
    </xf>
    <xf numFmtId="1" fontId="11" fillId="0" borderId="3" xfId="23" applyNumberFormat="1" applyFont="1" applyFill="1" applyBorder="1" applyAlignment="1" applyProtection="1">
      <alignment horizontal="center" vertical="center" wrapText="1"/>
    </xf>
    <xf numFmtId="166" fontId="12" fillId="0" borderId="7" xfId="0" applyNumberFormat="1" applyFont="1" applyFill="1" applyBorder="1" applyAlignment="1" applyProtection="1">
      <alignment horizontal="right" vertical="center" wrapText="1"/>
      <protection locked="0"/>
    </xf>
    <xf numFmtId="0" fontId="7" fillId="0" borderId="0" xfId="23" applyFont="1" applyFill="1" applyBorder="1" applyAlignment="1" applyProtection="1">
      <alignment horizontal="right" vertical="center"/>
      <protection locked="0"/>
    </xf>
    <xf numFmtId="1" fontId="11" fillId="0" borderId="1" xfId="33" applyNumberFormat="1" applyFont="1" applyFill="1" applyBorder="1" applyAlignment="1" applyProtection="1">
      <alignment horizontal="center" vertical="center" wrapText="1"/>
    </xf>
    <xf numFmtId="0" fontId="11" fillId="9" borderId="1" xfId="23" applyFont="1" applyFill="1" applyBorder="1" applyAlignment="1" applyProtection="1">
      <alignment horizontal="left" vertical="center" wrapText="1"/>
      <protection locked="0"/>
    </xf>
    <xf numFmtId="0" fontId="55" fillId="0" borderId="19" xfId="0" applyFont="1" applyBorder="1" applyAlignment="1">
      <alignment horizontal="left" vertical="center" wrapText="1"/>
    </xf>
    <xf numFmtId="0" fontId="71" fillId="4" borderId="1" xfId="23" applyFont="1" applyFill="1" applyBorder="1" applyAlignment="1" applyProtection="1">
      <alignment horizontal="center"/>
      <protection locked="0"/>
    </xf>
    <xf numFmtId="165" fontId="56" fillId="0" borderId="1" xfId="0" applyNumberFormat="1" applyFont="1" applyFill="1" applyBorder="1" applyAlignment="1" applyProtection="1">
      <alignment horizontal="left" vertical="center" wrapText="1"/>
    </xf>
    <xf numFmtId="166" fontId="71" fillId="0" borderId="1" xfId="23" applyNumberFormat="1" applyFont="1" applyFill="1" applyBorder="1" applyAlignment="1" applyProtection="1">
      <alignment horizontal="right" vertical="center" wrapText="1"/>
      <protection locked="0"/>
    </xf>
    <xf numFmtId="166" fontId="58" fillId="0" borderId="1" xfId="23" applyNumberFormat="1" applyFont="1" applyFill="1" applyBorder="1" applyAlignment="1" applyProtection="1">
      <alignment horizontal="right" vertical="center" wrapText="1"/>
      <protection locked="0"/>
    </xf>
    <xf numFmtId="0" fontId="71" fillId="9" borderId="1" xfId="23" applyFont="1" applyFill="1" applyBorder="1" applyAlignment="1" applyProtection="1">
      <alignment horizontal="left" vertical="center" wrapText="1"/>
      <protection locked="0"/>
    </xf>
    <xf numFmtId="0" fontId="58" fillId="0" borderId="1" xfId="0" applyNumberFormat="1" applyFont="1" applyFill="1" applyBorder="1" applyAlignment="1" applyProtection="1">
      <alignment horizontal="left" vertical="center" wrapText="1"/>
    </xf>
    <xf numFmtId="165" fontId="58" fillId="0" borderId="1" xfId="0" applyNumberFormat="1" applyFont="1" applyFill="1" applyBorder="1" applyAlignment="1" applyProtection="1">
      <alignment horizontal="left" vertical="center" wrapText="1"/>
    </xf>
    <xf numFmtId="0" fontId="71" fillId="0" borderId="1" xfId="0" applyFont="1" applyFill="1" applyBorder="1" applyAlignment="1" applyProtection="1">
      <alignment horizontal="center" vertical="center" wrapText="1"/>
    </xf>
    <xf numFmtId="1" fontId="58" fillId="0" borderId="1" xfId="23" applyNumberFormat="1" applyFont="1" applyFill="1" applyBorder="1" applyAlignment="1" applyProtection="1">
      <alignment horizontal="center" vertical="center" wrapText="1"/>
    </xf>
    <xf numFmtId="1" fontId="71" fillId="0" borderId="1" xfId="0"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justify" vertical="center" wrapText="1"/>
    </xf>
    <xf numFmtId="0" fontId="58" fillId="0" borderId="6" xfId="0" applyNumberFormat="1" applyFont="1" applyFill="1" applyBorder="1" applyAlignment="1" applyProtection="1">
      <alignment horizontal="left" vertical="center" wrapText="1"/>
    </xf>
    <xf numFmtId="0" fontId="58" fillId="0" borderId="3" xfId="0" applyNumberFormat="1" applyFont="1" applyFill="1" applyBorder="1" applyAlignment="1" applyProtection="1">
      <alignment horizontal="left" vertical="center" wrapText="1"/>
    </xf>
    <xf numFmtId="1" fontId="71" fillId="0" borderId="6" xfId="23" applyNumberFormat="1" applyFont="1" applyFill="1" applyBorder="1" applyAlignment="1" applyProtection="1">
      <alignment horizontal="center" vertical="center" wrapText="1"/>
    </xf>
    <xf numFmtId="1" fontId="71" fillId="0" borderId="3" xfId="23" applyNumberFormat="1" applyFont="1" applyFill="1" applyBorder="1" applyAlignment="1" applyProtection="1">
      <alignment horizontal="center" vertical="center" wrapText="1"/>
    </xf>
    <xf numFmtId="165" fontId="58" fillId="0" borderId="1" xfId="0" applyNumberFormat="1" applyFont="1" applyFill="1" applyBorder="1" applyAlignment="1" applyProtection="1">
      <alignment horizontal="center" vertical="center" wrapText="1"/>
    </xf>
    <xf numFmtId="1" fontId="58" fillId="14" borderId="1" xfId="23" applyNumberFormat="1" applyFont="1" applyFill="1" applyBorder="1" applyAlignment="1" applyProtection="1">
      <alignment horizontal="center" vertical="center" wrapText="1"/>
    </xf>
    <xf numFmtId="166" fontId="58" fillId="0" borderId="1" xfId="0" applyNumberFormat="1" applyFont="1" applyFill="1" applyBorder="1" applyAlignment="1" applyProtection="1">
      <alignment horizontal="right" vertical="center" wrapText="1"/>
      <protection locked="0"/>
    </xf>
    <xf numFmtId="166" fontId="71" fillId="0" borderId="6" xfId="23" applyNumberFormat="1" applyFont="1" applyFill="1" applyBorder="1" applyAlignment="1" applyProtection="1">
      <alignment horizontal="right" vertical="center" wrapText="1"/>
      <protection locked="0"/>
    </xf>
    <xf numFmtId="166" fontId="71" fillId="0" borderId="7" xfId="23" applyNumberFormat="1" applyFont="1" applyFill="1" applyBorder="1" applyAlignment="1" applyProtection="1">
      <alignment horizontal="right" vertical="center" wrapText="1"/>
      <protection locked="0"/>
    </xf>
    <xf numFmtId="166" fontId="71" fillId="0" borderId="3" xfId="23" applyNumberFormat="1" applyFont="1" applyFill="1" applyBorder="1" applyAlignment="1" applyProtection="1">
      <alignment horizontal="right" vertical="center" wrapText="1"/>
      <protection locked="0"/>
    </xf>
    <xf numFmtId="166" fontId="58" fillId="0" borderId="6" xfId="23" applyNumberFormat="1" applyFont="1" applyFill="1" applyBorder="1" applyAlignment="1" applyProtection="1">
      <alignment horizontal="right" vertical="center" wrapText="1"/>
      <protection locked="0"/>
    </xf>
    <xf numFmtId="166" fontId="58" fillId="0" borderId="7" xfId="23" applyNumberFormat="1" applyFont="1" applyFill="1" applyBorder="1" applyAlignment="1" applyProtection="1">
      <alignment horizontal="right" vertical="center" wrapText="1"/>
      <protection locked="0"/>
    </xf>
    <xf numFmtId="166" fontId="58" fillId="0" borderId="3" xfId="23" applyNumberFormat="1" applyFont="1" applyFill="1" applyBorder="1" applyAlignment="1" applyProtection="1">
      <alignment horizontal="right" vertical="center" wrapText="1"/>
      <protection locked="0"/>
    </xf>
    <xf numFmtId="166" fontId="58" fillId="0" borderId="6" xfId="0" applyNumberFormat="1" applyFont="1" applyFill="1" applyBorder="1" applyAlignment="1" applyProtection="1">
      <alignment horizontal="right" vertical="center" wrapText="1"/>
      <protection locked="0"/>
    </xf>
    <xf numFmtId="166" fontId="58" fillId="0" borderId="7" xfId="0" applyNumberFormat="1" applyFont="1" applyFill="1" applyBorder="1" applyAlignment="1" applyProtection="1">
      <alignment horizontal="right" vertical="center" wrapText="1"/>
      <protection locked="0"/>
    </xf>
    <xf numFmtId="166" fontId="58" fillId="0" borderId="3" xfId="0" applyNumberFormat="1" applyFont="1" applyFill="1" applyBorder="1" applyAlignment="1" applyProtection="1">
      <alignment horizontal="right" vertical="center" wrapText="1"/>
      <protection locked="0"/>
    </xf>
    <xf numFmtId="1" fontId="71" fillId="0" borderId="1" xfId="33" applyNumberFormat="1" applyFont="1" applyFill="1" applyBorder="1" applyAlignment="1" applyProtection="1">
      <alignment horizontal="center" vertical="center" wrapText="1"/>
    </xf>
    <xf numFmtId="166" fontId="71" fillId="0" borderId="1" xfId="0" applyNumberFormat="1" applyFont="1" applyFill="1" applyBorder="1" applyAlignment="1" applyProtection="1">
      <alignment horizontal="right" vertical="center" wrapText="1"/>
      <protection locked="0"/>
    </xf>
    <xf numFmtId="0" fontId="15" fillId="0" borderId="1" xfId="23" applyFont="1" applyFill="1" applyBorder="1" applyAlignment="1" applyProtection="1">
      <alignment horizontal="left" vertical="center"/>
      <protection locked="0"/>
    </xf>
    <xf numFmtId="0" fontId="71" fillId="4" borderId="1" xfId="23" applyFont="1" applyFill="1" applyBorder="1" applyAlignment="1" applyProtection="1">
      <alignment horizontal="center" vertical="center"/>
      <protection locked="0"/>
    </xf>
    <xf numFmtId="0" fontId="71" fillId="4" borderId="1" xfId="23" applyFont="1" applyFill="1" applyBorder="1" applyAlignment="1" applyProtection="1">
      <alignment horizontal="center" vertical="center" wrapText="1"/>
      <protection locked="0"/>
    </xf>
    <xf numFmtId="164" fontId="71" fillId="4" borderId="1" xfId="23" applyNumberFormat="1" applyFont="1" applyFill="1" applyBorder="1" applyAlignment="1" applyProtection="1">
      <alignment horizontal="center" vertical="center" wrapText="1"/>
      <protection locked="0"/>
    </xf>
    <xf numFmtId="0" fontId="46" fillId="0" borderId="1" xfId="0" applyFont="1" applyBorder="1" applyAlignment="1">
      <alignment horizontal="center"/>
    </xf>
    <xf numFmtId="164" fontId="4" fillId="17" borderId="6" xfId="23" applyNumberFormat="1" applyFont="1" applyFill="1" applyBorder="1" applyAlignment="1" applyProtection="1">
      <alignment horizontal="center" vertical="center" wrapText="1"/>
      <protection locked="0"/>
    </xf>
    <xf numFmtId="164" fontId="4" fillId="17" borderId="3" xfId="23" applyNumberFormat="1" applyFont="1" applyFill="1" applyBorder="1" applyAlignment="1" applyProtection="1">
      <alignment horizontal="center" vertical="center" wrapText="1"/>
      <protection locked="0"/>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0" fillId="0" borderId="0" xfId="0" applyAlignment="1">
      <alignment horizontal="left"/>
    </xf>
    <xf numFmtId="165" fontId="58" fillId="0" borderId="6" xfId="0" applyNumberFormat="1" applyFont="1" applyFill="1" applyBorder="1" applyAlignment="1" applyProtection="1">
      <alignment horizontal="left" vertical="center" wrapText="1"/>
    </xf>
    <xf numFmtId="165" fontId="58" fillId="0" borderId="7" xfId="0" applyNumberFormat="1" applyFont="1" applyFill="1" applyBorder="1" applyAlignment="1" applyProtection="1">
      <alignment horizontal="left" vertical="center" wrapText="1"/>
    </xf>
    <xf numFmtId="165" fontId="58" fillId="0" borderId="3" xfId="0" applyNumberFormat="1" applyFont="1" applyFill="1" applyBorder="1" applyAlignment="1" applyProtection="1">
      <alignment horizontal="left" vertical="center" wrapText="1"/>
    </xf>
    <xf numFmtId="9" fontId="71" fillId="0" borderId="6" xfId="33" applyFont="1" applyFill="1" applyBorder="1" applyAlignment="1" applyProtection="1">
      <alignment horizontal="center" vertical="center" wrapText="1"/>
    </xf>
    <xf numFmtId="9" fontId="71" fillId="0" borderId="7" xfId="33" applyFont="1" applyFill="1" applyBorder="1" applyAlignment="1" applyProtection="1">
      <alignment horizontal="center" vertical="center" wrapText="1"/>
    </xf>
    <xf numFmtId="9" fontId="71" fillId="0" borderId="3" xfId="33" applyFont="1" applyFill="1" applyBorder="1" applyAlignment="1" applyProtection="1">
      <alignment horizontal="center" vertical="center" wrapText="1"/>
    </xf>
    <xf numFmtId="165" fontId="58" fillId="0" borderId="6" xfId="0" applyNumberFormat="1" applyFont="1" applyFill="1" applyBorder="1" applyAlignment="1" applyProtection="1">
      <alignment horizontal="center" vertical="center" wrapText="1"/>
    </xf>
    <xf numFmtId="165" fontId="58" fillId="0" borderId="7" xfId="0" applyNumberFormat="1" applyFont="1" applyFill="1" applyBorder="1" applyAlignment="1" applyProtection="1">
      <alignment horizontal="center" vertical="center" wrapText="1"/>
    </xf>
    <xf numFmtId="165" fontId="58" fillId="0" borderId="3" xfId="0" applyNumberFormat="1" applyFont="1" applyFill="1" applyBorder="1" applyAlignment="1" applyProtection="1">
      <alignment horizontal="center" vertical="center" wrapText="1"/>
    </xf>
    <xf numFmtId="166" fontId="12" fillId="0" borderId="1" xfId="23" applyNumberFormat="1" applyFont="1" applyFill="1" applyBorder="1" applyAlignment="1" applyProtection="1">
      <alignment horizontal="center" vertical="center" wrapText="1"/>
      <protection locked="0"/>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cellXfs>
  <cellStyles count="36">
    <cellStyle name="Coma 2" xfId="1"/>
    <cellStyle name="Coma 3" xfId="2"/>
    <cellStyle name="Millares" xfId="3" builtinId="3"/>
    <cellStyle name="Millares 2" xfId="4"/>
    <cellStyle name="Millares 2 2" xfId="5"/>
    <cellStyle name="Millares 2 3" xfId="6"/>
    <cellStyle name="Millares 3" xfId="7"/>
    <cellStyle name="Millares 4" xfId="8"/>
    <cellStyle name="Millares 5" xfId="9"/>
    <cellStyle name="Millares 6" xfId="10"/>
    <cellStyle name="Moneda" xfId="11" builtinId="4"/>
    <cellStyle name="Moneda 2" xfId="12"/>
    <cellStyle name="Moneda 3" xfId="13"/>
    <cellStyle name="Moneda 3 2" xfId="14"/>
    <cellStyle name="Moneda 4" xfId="15"/>
    <cellStyle name="Moneda 5" xfId="16"/>
    <cellStyle name="Moneda 6" xfId="17"/>
    <cellStyle name="Normal" xfId="0" builtinId="0"/>
    <cellStyle name="Normal 10" xfId="18"/>
    <cellStyle name="Normal 11" xfId="19"/>
    <cellStyle name="Normal 13" xfId="20"/>
    <cellStyle name="Normal 14" xfId="21"/>
    <cellStyle name="Normal 15" xfId="22"/>
    <cellStyle name="Normal 2" xfId="23"/>
    <cellStyle name="Normal 3" xfId="24"/>
    <cellStyle name="Normal 3 2" xfId="25"/>
    <cellStyle name="Normal 4" xfId="26"/>
    <cellStyle name="Normal 8" xfId="27"/>
    <cellStyle name="Normal 9" xfId="28"/>
    <cellStyle name="Porcentaje" xfId="29" builtinId="5"/>
    <cellStyle name="Porcentaje 2" xfId="30"/>
    <cellStyle name="Porcentaje 3" xfId="31"/>
    <cellStyle name="Porcentaje 4" xfId="32"/>
    <cellStyle name="Porcentual 2" xfId="33"/>
    <cellStyle name="Porcentual 3" xfId="34"/>
    <cellStyle name="TableStyleLight1" xfId="35"/>
  </cellStyles>
  <dxfs count="34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889000</xdr:colOff>
      <xdr:row>2</xdr:row>
      <xdr:rowOff>127000</xdr:rowOff>
    </xdr:to>
    <xdr:pic>
      <xdr:nvPicPr>
        <xdr:cNvPr id="3602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889000" cy="558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177800</xdr:colOff>
      <xdr:row>3</xdr:row>
      <xdr:rowOff>165100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39800" cy="7842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3</xdr:row>
      <xdr:rowOff>247650</xdr:rowOff>
    </xdr:to>
    <xdr:pic>
      <xdr:nvPicPr>
        <xdr:cNvPr id="3705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996950" cy="8509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3</xdr:row>
      <xdr:rowOff>247650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996950" cy="895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12700</xdr:rowOff>
    </xdr:from>
    <xdr:to>
      <xdr:col>1</xdr:col>
      <xdr:colOff>990600</xdr:colOff>
      <xdr:row>1</xdr:row>
      <xdr:rowOff>584200</xdr:rowOff>
    </xdr:to>
    <xdr:pic>
      <xdr:nvPicPr>
        <xdr:cNvPr id="40124"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00"/>
          <a:ext cx="990600" cy="9271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12700</xdr:rowOff>
    </xdr:from>
    <xdr:to>
      <xdr:col>1</xdr:col>
      <xdr:colOff>990600</xdr:colOff>
      <xdr:row>1</xdr:row>
      <xdr:rowOff>584200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00"/>
          <a:ext cx="990600" cy="9334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39091"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0"/>
          <a:ext cx="996950" cy="8509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996950" cy="86677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889000</xdr:colOff>
      <xdr:row>4</xdr:row>
      <xdr:rowOff>127000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889000" cy="5651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13509"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996950" cy="8890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996950</xdr:colOff>
      <xdr:row>5</xdr:row>
      <xdr:rowOff>57150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996950" cy="895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260350</xdr:colOff>
      <xdr:row>0</xdr:row>
      <xdr:rowOff>38100</xdr:rowOff>
    </xdr:from>
    <xdr:to>
      <xdr:col>8</xdr:col>
      <xdr:colOff>2019300</xdr:colOff>
      <xdr:row>4</xdr:row>
      <xdr:rowOff>171450</xdr:rowOff>
    </xdr:to>
    <xdr:pic>
      <xdr:nvPicPr>
        <xdr:cNvPr id="12483"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38100"/>
          <a:ext cx="1758950" cy="12890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260350</xdr:colOff>
      <xdr:row>0</xdr:row>
      <xdr:rowOff>38100</xdr:rowOff>
    </xdr:from>
    <xdr:to>
      <xdr:col>8</xdr:col>
      <xdr:colOff>2019300</xdr:colOff>
      <xdr:row>4</xdr:row>
      <xdr:rowOff>171450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38100"/>
          <a:ext cx="1758950" cy="13049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95250</xdr:rowOff>
    </xdr:from>
    <xdr:to>
      <xdr:col>1</xdr:col>
      <xdr:colOff>996950</xdr:colOff>
      <xdr:row>3</xdr:row>
      <xdr:rowOff>279400</xdr:rowOff>
    </xdr:to>
    <xdr:pic>
      <xdr:nvPicPr>
        <xdr:cNvPr id="35015"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95250"/>
          <a:ext cx="996950" cy="768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95250</xdr:rowOff>
    </xdr:from>
    <xdr:to>
      <xdr:col>1</xdr:col>
      <xdr:colOff>996950</xdr:colOff>
      <xdr:row>3</xdr:row>
      <xdr:rowOff>279400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95250"/>
          <a:ext cx="996950" cy="84137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177800</xdr:colOff>
      <xdr:row>3</xdr:row>
      <xdr:rowOff>165100</xdr:rowOff>
    </xdr:to>
    <xdr:pic>
      <xdr:nvPicPr>
        <xdr:cNvPr id="38077"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39800" cy="7747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S29"/>
  <sheetViews>
    <sheetView workbookViewId="0">
      <selection activeCell="I8" sqref="I8"/>
    </sheetView>
  </sheetViews>
  <sheetFormatPr baseColWidth="10" defaultRowHeight="15" x14ac:dyDescent="0.25"/>
  <cols>
    <col min="1" max="1" width="6.85546875" customWidth="1"/>
    <col min="2" max="6" width="11.42578125" hidden="1" customWidth="1"/>
    <col min="7" max="7" width="6.5703125" hidden="1" customWidth="1"/>
    <col min="8" max="8" width="5.85546875" hidden="1" customWidth="1"/>
    <col min="9" max="9" width="31.28515625" customWidth="1"/>
    <col min="10" max="10" width="19.28515625" bestFit="1" customWidth="1"/>
    <col min="11" max="12" width="18.28515625" bestFit="1" customWidth="1"/>
    <col min="13" max="13" width="27" bestFit="1" customWidth="1"/>
    <col min="15" max="15" width="18.28515625" customWidth="1"/>
    <col min="16" max="16" width="25" customWidth="1"/>
    <col min="17" max="17" width="16.7109375" customWidth="1"/>
    <col min="18" max="18" width="33.5703125" customWidth="1"/>
    <col min="19" max="19" width="16.42578125" bestFit="1" customWidth="1"/>
  </cols>
  <sheetData>
    <row r="2" spans="9:19" ht="14.25" customHeight="1" x14ac:dyDescent="0.25"/>
    <row r="3" spans="9:19" x14ac:dyDescent="0.25">
      <c r="I3" s="481" t="s">
        <v>17</v>
      </c>
      <c r="J3" s="481"/>
      <c r="K3" s="481"/>
      <c r="L3" s="481"/>
      <c r="M3" s="481"/>
      <c r="O3" s="482" t="s">
        <v>347</v>
      </c>
      <c r="P3" s="483" t="s">
        <v>348</v>
      </c>
      <c r="Q3" s="485" t="s">
        <v>324</v>
      </c>
    </row>
    <row r="4" spans="9:19" ht="31.5" customHeight="1" x14ac:dyDescent="0.25">
      <c r="I4" s="43" t="s">
        <v>317</v>
      </c>
      <c r="J4" s="44" t="s">
        <v>360</v>
      </c>
      <c r="K4" s="44" t="s">
        <v>19</v>
      </c>
      <c r="L4" s="44" t="s">
        <v>361</v>
      </c>
      <c r="M4" s="43" t="s">
        <v>318</v>
      </c>
      <c r="O4" s="482"/>
      <c r="P4" s="484"/>
      <c r="Q4" s="485"/>
    </row>
    <row r="5" spans="9:19" ht="21.75" customHeight="1" x14ac:dyDescent="0.25">
      <c r="I5" s="47" t="s">
        <v>177</v>
      </c>
      <c r="J5" s="42">
        <f>METEOROLOGÍA!R65</f>
        <v>876844346</v>
      </c>
      <c r="K5" s="42">
        <f>METEOROLOGÍA!S65</f>
        <v>0</v>
      </c>
      <c r="L5" s="42">
        <f>METEOROLOGÍA!T65</f>
        <v>315000000</v>
      </c>
      <c r="M5" s="42">
        <f>METEOROLOGÍA!Q65</f>
        <v>1191844346</v>
      </c>
      <c r="O5" s="42">
        <f>METEOROLOGÍA!U65</f>
        <v>986658537</v>
      </c>
      <c r="P5" s="42"/>
      <c r="Q5" s="164"/>
    </row>
    <row r="6" spans="9:19" ht="25.5" customHeight="1" x14ac:dyDescent="0.25">
      <c r="I6" s="47" t="s">
        <v>112</v>
      </c>
      <c r="J6" s="42">
        <f>HIDROLOGÍA!R34</f>
        <v>2183443753</v>
      </c>
      <c r="K6" s="42">
        <f>HIDROLOGÍA!S34</f>
        <v>0</v>
      </c>
      <c r="L6" s="42">
        <f>HIDROLOGÍA!T34</f>
        <v>300000000</v>
      </c>
      <c r="M6" s="42">
        <f>HIDROLOGÍA!Q34</f>
        <v>2483443753</v>
      </c>
      <c r="O6" s="42">
        <f>HIDROLOGÍA!U34</f>
        <v>452354732</v>
      </c>
      <c r="P6" s="42"/>
      <c r="Q6" s="164"/>
    </row>
    <row r="7" spans="9:19" ht="25.5" customHeight="1" x14ac:dyDescent="0.25">
      <c r="I7" s="47" t="s">
        <v>22</v>
      </c>
      <c r="J7" s="42">
        <f>'ESTUDIOS AMBIENTALES'!Y45</f>
        <v>892201591</v>
      </c>
      <c r="K7" s="42">
        <f>'ESTUDIOS AMBIENTALES'!Z45</f>
        <v>2606983533</v>
      </c>
      <c r="L7" s="42">
        <f>'ESTUDIOS AMBIENTALES'!AA45</f>
        <v>0</v>
      </c>
      <c r="M7" s="42">
        <f>'ESTUDIOS AMBIENTALES'!X45</f>
        <v>3499185124</v>
      </c>
      <c r="O7" s="42">
        <f>'ESTUDIOS AMBIENTALES'!AC45</f>
        <v>47383335</v>
      </c>
      <c r="P7" s="42"/>
      <c r="Q7" s="164"/>
    </row>
    <row r="8" spans="9:19" ht="25.5" customHeight="1" x14ac:dyDescent="0.25">
      <c r="I8" s="370" t="s">
        <v>319</v>
      </c>
      <c r="J8" s="42">
        <f>ECOSISTEMAS!R30</f>
        <v>3743998590</v>
      </c>
      <c r="K8" s="42">
        <f>ECOSISTEMAS!S30</f>
        <v>0</v>
      </c>
      <c r="L8" s="42">
        <f>ECOSISTEMAS!T30</f>
        <v>1500000000</v>
      </c>
      <c r="M8" s="42">
        <f>ECOSISTEMAS!Q30</f>
        <v>5243998590</v>
      </c>
      <c r="O8" s="42">
        <f>ECOSISTEMAS!U30</f>
        <v>125488629</v>
      </c>
      <c r="P8" s="42"/>
      <c r="Q8" s="164"/>
      <c r="R8" s="321">
        <v>113488629</v>
      </c>
      <c r="S8" s="323">
        <f>125488629-R8</f>
        <v>12000000</v>
      </c>
    </row>
    <row r="9" spans="9:19" ht="22.5" customHeight="1" x14ac:dyDescent="0.25">
      <c r="I9" s="47" t="s">
        <v>320</v>
      </c>
      <c r="J9" s="42">
        <f>REDES!R16</f>
        <v>1304923542</v>
      </c>
      <c r="K9" s="42">
        <f>REDES!S16</f>
        <v>350000000</v>
      </c>
      <c r="L9" s="42">
        <f>REDES!T16</f>
        <v>499964668</v>
      </c>
      <c r="M9" s="42">
        <f>REDES!Q16</f>
        <v>2154888210</v>
      </c>
      <c r="O9" s="42">
        <f>REDES!U16</f>
        <v>4621550777</v>
      </c>
      <c r="P9" s="42"/>
      <c r="Q9" s="164"/>
      <c r="R9" s="321">
        <v>4671902628</v>
      </c>
      <c r="S9" s="321">
        <f>4671902628-4621550777</f>
        <v>50351851</v>
      </c>
    </row>
    <row r="10" spans="9:19" ht="18.75" customHeight="1" x14ac:dyDescent="0.25">
      <c r="I10" s="370" t="s">
        <v>302</v>
      </c>
      <c r="J10" s="325">
        <f>INFORMÁTICA!R15</f>
        <v>2528665570</v>
      </c>
      <c r="K10" s="42">
        <f>INFORMÁTICA!S15</f>
        <v>0</v>
      </c>
      <c r="L10" s="325">
        <f>INFORMÁTICA!T15</f>
        <v>1550000000</v>
      </c>
      <c r="M10" s="325">
        <f>INFORMÁTICA!Q15</f>
        <v>4078665570</v>
      </c>
      <c r="O10" s="203">
        <f>INFORMÁTICA!U15</f>
        <v>3845575980.3499999</v>
      </c>
      <c r="P10" s="42"/>
      <c r="Q10" s="164"/>
      <c r="R10" s="204"/>
    </row>
    <row r="11" spans="9:19" ht="24" customHeight="1" x14ac:dyDescent="0.25">
      <c r="I11" s="47" t="s">
        <v>321</v>
      </c>
      <c r="J11" s="324">
        <f>PRONÓSTICOS!R15</f>
        <v>320466580</v>
      </c>
      <c r="K11" s="42">
        <f>PRONÓSTICOS!S15</f>
        <v>0</v>
      </c>
      <c r="L11" s="42">
        <f>PRONÓSTICOS!T15</f>
        <v>0</v>
      </c>
      <c r="M11" s="324">
        <f>PRONÓSTICOS!Q15</f>
        <v>320466580</v>
      </c>
      <c r="O11" s="42">
        <f>PRONÓSTICOS!U15</f>
        <v>1319838034</v>
      </c>
      <c r="P11" s="42"/>
      <c r="Q11" s="164"/>
    </row>
    <row r="12" spans="9:19" ht="21" customHeight="1" x14ac:dyDescent="0.25">
      <c r="I12" s="47" t="s">
        <v>322</v>
      </c>
      <c r="J12" s="328">
        <f>'SECRETARÍA GENERAL'!R22</f>
        <v>3619278993</v>
      </c>
      <c r="K12" s="42">
        <f>'SECRETARÍA GENERAL'!S22</f>
        <v>0</v>
      </c>
      <c r="L12" s="328">
        <f>'SECRETARÍA GENERAL'!T22</f>
        <v>1100000000</v>
      </c>
      <c r="M12" s="328">
        <f>'SECRETARÍA GENERAL'!Q22</f>
        <v>4719278993</v>
      </c>
      <c r="O12" s="42">
        <f>'SECRETARÍA GENERAL'!U22</f>
        <v>10175045216.65</v>
      </c>
      <c r="P12" s="42"/>
      <c r="Q12" s="164"/>
    </row>
    <row r="13" spans="9:19" ht="21" customHeight="1" x14ac:dyDescent="0.25">
      <c r="I13" s="47" t="s">
        <v>313</v>
      </c>
      <c r="J13" s="42">
        <f>PLANEACIÓN!R14</f>
        <v>67977760</v>
      </c>
      <c r="K13" s="42">
        <f>PLANEACIÓN!S14</f>
        <v>0</v>
      </c>
      <c r="L13" s="42">
        <f>PLANEACIÓN!T14</f>
        <v>0</v>
      </c>
      <c r="M13" s="42">
        <f>PLANEACIÓN!Q14</f>
        <v>67977760</v>
      </c>
      <c r="O13" s="42">
        <f>PLANEACIÓN!U14</f>
        <v>63986512</v>
      </c>
      <c r="P13" s="42"/>
      <c r="Q13" s="164"/>
      <c r="R13" s="321">
        <v>25634661</v>
      </c>
      <c r="S13" s="331">
        <f>63986512-25634661</f>
        <v>38351851</v>
      </c>
    </row>
    <row r="14" spans="9:19" ht="22.5" customHeight="1" x14ac:dyDescent="0.3">
      <c r="I14" s="45" t="s">
        <v>53</v>
      </c>
      <c r="J14" s="168">
        <f>SUM(J5:J13)</f>
        <v>15537800725</v>
      </c>
      <c r="K14" s="168">
        <f>SUM(K5:K13)</f>
        <v>2956983533</v>
      </c>
      <c r="L14" s="168">
        <f>SUM(L5:L13)</f>
        <v>5264964668</v>
      </c>
      <c r="M14" s="168">
        <f>SUM(M5:M13)</f>
        <v>23759748926</v>
      </c>
      <c r="O14" s="168">
        <f>O5+O6+O7+O8+O9+O10+O11+O12+O13</f>
        <v>21637881753</v>
      </c>
      <c r="P14" s="480" t="s">
        <v>349</v>
      </c>
      <c r="Q14" s="480"/>
      <c r="S14" s="322"/>
    </row>
    <row r="15" spans="9:19" ht="20.25" customHeight="1" x14ac:dyDescent="0.3">
      <c r="I15" s="165" t="s">
        <v>323</v>
      </c>
      <c r="J15" s="176">
        <v>15537800725</v>
      </c>
      <c r="K15" s="176">
        <v>2956983533</v>
      </c>
      <c r="L15" s="176">
        <v>5264964668</v>
      </c>
      <c r="M15" s="176">
        <f>SUM(J15:L15)</f>
        <v>23759748926</v>
      </c>
      <c r="O15" s="42">
        <v>23516996000</v>
      </c>
      <c r="P15" s="480" t="s">
        <v>350</v>
      </c>
      <c r="Q15" s="480"/>
    </row>
    <row r="16" spans="9:19" ht="20.25" customHeight="1" x14ac:dyDescent="0.3">
      <c r="I16" s="165"/>
      <c r="J16" s="176"/>
      <c r="K16" s="176"/>
      <c r="L16" s="176"/>
      <c r="M16" s="176"/>
      <c r="O16" s="42">
        <v>106197000</v>
      </c>
      <c r="P16" s="480" t="s">
        <v>371</v>
      </c>
      <c r="Q16" s="480"/>
    </row>
    <row r="17" spans="9:17" ht="20.25" customHeight="1" x14ac:dyDescent="0.3">
      <c r="I17" s="165"/>
      <c r="J17" s="176"/>
      <c r="K17" s="176"/>
      <c r="L17" s="176"/>
      <c r="M17" s="176"/>
      <c r="O17" s="42">
        <v>27140000</v>
      </c>
      <c r="P17" s="480" t="s">
        <v>372</v>
      </c>
      <c r="Q17" s="480"/>
    </row>
    <row r="18" spans="9:17" ht="19.899999999999999" customHeight="1" x14ac:dyDescent="0.25">
      <c r="I18" s="165" t="s">
        <v>324</v>
      </c>
      <c r="J18" s="46">
        <f>+J14-J15</f>
        <v>0</v>
      </c>
      <c r="K18" s="46">
        <f>+K14-K15</f>
        <v>0</v>
      </c>
      <c r="L18" s="46">
        <f>+L14-L15</f>
        <v>0</v>
      </c>
      <c r="M18" s="46">
        <f>SUM(J18:L18)</f>
        <v>0</v>
      </c>
      <c r="O18" s="42">
        <v>466650000</v>
      </c>
      <c r="P18" s="480" t="s">
        <v>373</v>
      </c>
      <c r="Q18" s="480"/>
    </row>
    <row r="19" spans="9:17" ht="16.5" x14ac:dyDescent="0.3">
      <c r="I19" t="s">
        <v>407</v>
      </c>
      <c r="J19" s="183"/>
      <c r="K19" s="183"/>
      <c r="L19" s="183"/>
      <c r="M19" s="183"/>
      <c r="O19" s="168">
        <v>460401287</v>
      </c>
      <c r="P19" s="480" t="s">
        <v>374</v>
      </c>
      <c r="Q19" s="480"/>
    </row>
    <row r="20" spans="9:17" ht="16.5" x14ac:dyDescent="0.3">
      <c r="I20" s="326">
        <v>3628665570</v>
      </c>
      <c r="J20" s="326">
        <v>2650000000</v>
      </c>
      <c r="K20" s="326">
        <v>6278665570</v>
      </c>
      <c r="O20" s="168">
        <f>O14+O15+O16+O17+O18+O19</f>
        <v>46215266040</v>
      </c>
      <c r="P20" s="480" t="s">
        <v>351</v>
      </c>
      <c r="Q20" s="480"/>
    </row>
    <row r="21" spans="9:17" x14ac:dyDescent="0.25">
      <c r="I21" s="326">
        <f>3628665570-2528665570</f>
        <v>1100000000</v>
      </c>
      <c r="J21" s="326">
        <f>2650000000-1550000000</f>
        <v>1100000000</v>
      </c>
      <c r="K21" s="326">
        <f>6278665570-4078665570</f>
        <v>2200000000</v>
      </c>
    </row>
    <row r="22" spans="9:17" x14ac:dyDescent="0.25">
      <c r="I22" s="322"/>
      <c r="J22" s="322"/>
      <c r="K22" s="322"/>
      <c r="O22" s="193">
        <v>-0.01</v>
      </c>
    </row>
    <row r="23" spans="9:17" ht="15.75" x14ac:dyDescent="0.25">
      <c r="I23" s="327">
        <v>321466580</v>
      </c>
      <c r="J23" s="322"/>
      <c r="K23" s="327">
        <v>321466580</v>
      </c>
      <c r="L23" s="169">
        <v>46215266040</v>
      </c>
      <c r="M23" s="479" t="s">
        <v>353</v>
      </c>
      <c r="N23" s="479"/>
      <c r="O23" s="192">
        <f>L23</f>
        <v>46215266040</v>
      </c>
    </row>
    <row r="24" spans="9:17" ht="15.75" x14ac:dyDescent="0.25">
      <c r="I24" s="327">
        <f>321466580-320466580</f>
        <v>1000000</v>
      </c>
      <c r="K24" s="327">
        <f>+K23-320466580</f>
        <v>1000000</v>
      </c>
      <c r="L24" s="169">
        <v>24466567258</v>
      </c>
      <c r="M24" s="479" t="s">
        <v>354</v>
      </c>
      <c r="N24" s="479"/>
      <c r="O24" s="192">
        <f>L24-L28-L29</f>
        <v>23759748926</v>
      </c>
    </row>
    <row r="25" spans="9:17" x14ac:dyDescent="0.25">
      <c r="L25" s="170">
        <f>L24+L23</f>
        <v>70681833298</v>
      </c>
      <c r="M25" s="479" t="s">
        <v>355</v>
      </c>
      <c r="N25" s="479"/>
      <c r="O25" s="192">
        <f>O24+O23</f>
        <v>69975014966</v>
      </c>
    </row>
    <row r="26" spans="9:17" x14ac:dyDescent="0.25">
      <c r="I26" s="329">
        <v>2518278993</v>
      </c>
      <c r="J26" s="329">
        <v>0</v>
      </c>
      <c r="K26" s="329">
        <v>2518278993</v>
      </c>
      <c r="L26" s="183"/>
    </row>
    <row r="27" spans="9:17" x14ac:dyDescent="0.25">
      <c r="I27" s="330">
        <f>I26-3619278993</f>
        <v>-1101000000</v>
      </c>
      <c r="J27" s="329">
        <f>+J26-1100000000</f>
        <v>-1100000000</v>
      </c>
      <c r="K27" s="329">
        <f>2518278993-4719278993</f>
        <v>-2201000000</v>
      </c>
      <c r="L27" s="194">
        <f>L28+L29</f>
        <v>706818332</v>
      </c>
      <c r="M27" s="195" t="s">
        <v>358</v>
      </c>
      <c r="N27" s="196"/>
      <c r="O27" s="196"/>
    </row>
    <row r="28" spans="9:17" x14ac:dyDescent="0.25">
      <c r="L28" s="194">
        <v>641198390</v>
      </c>
      <c r="M28" s="195" t="s">
        <v>359</v>
      </c>
      <c r="N28" s="196"/>
      <c r="O28" s="193">
        <v>-0.01</v>
      </c>
    </row>
    <row r="29" spans="9:17" x14ac:dyDescent="0.25">
      <c r="L29" s="194">
        <v>65619942</v>
      </c>
      <c r="M29" s="195" t="s">
        <v>19</v>
      </c>
      <c r="N29" s="196"/>
      <c r="O29" s="193">
        <v>-0.01</v>
      </c>
    </row>
  </sheetData>
  <mergeCells count="14">
    <mergeCell ref="I3:M3"/>
    <mergeCell ref="O3:O4"/>
    <mergeCell ref="P3:P4"/>
    <mergeCell ref="Q3:Q4"/>
    <mergeCell ref="P14:Q14"/>
    <mergeCell ref="M24:N24"/>
    <mergeCell ref="M25:N25"/>
    <mergeCell ref="P18:Q18"/>
    <mergeCell ref="P19:Q19"/>
    <mergeCell ref="P15:Q15"/>
    <mergeCell ref="P20:Q20"/>
    <mergeCell ref="P16:Q16"/>
    <mergeCell ref="P17:Q17"/>
    <mergeCell ref="M23:N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Y32"/>
  <sheetViews>
    <sheetView topLeftCell="C7" zoomScale="90" zoomScaleNormal="90" workbookViewId="0">
      <selection activeCell="U18" sqref="U18"/>
    </sheetView>
  </sheetViews>
  <sheetFormatPr baseColWidth="10" defaultRowHeight="15" x14ac:dyDescent="0.25"/>
  <cols>
    <col min="2" max="2" width="22.42578125" customWidth="1"/>
    <col min="3" max="3" width="19.28515625" customWidth="1"/>
    <col min="4" max="4" width="20.7109375" customWidth="1"/>
    <col min="5" max="6" width="6.42578125" customWidth="1"/>
    <col min="7" max="7" width="6.5703125" customWidth="1"/>
    <col min="8" max="8" width="6" customWidth="1"/>
    <col min="9" max="9" width="12.85546875" customWidth="1"/>
    <col min="11" max="11" width="20.28515625" customWidth="1"/>
    <col min="12" max="12" width="6" customWidth="1"/>
    <col min="13" max="13" width="22.140625" customWidth="1"/>
    <col min="14" max="14" width="15" customWidth="1"/>
    <col min="15" max="15" width="10.28515625" customWidth="1"/>
    <col min="16" max="16" width="17.28515625" customWidth="1"/>
    <col min="17" max="17" width="19" customWidth="1"/>
    <col min="18" max="18" width="20.5703125" customWidth="1"/>
    <col min="19" max="19" width="19.140625" customWidth="1"/>
    <col min="20" max="20" width="17.7109375" bestFit="1" customWidth="1"/>
    <col min="21" max="21" width="19" customWidth="1"/>
    <col min="23" max="24" width="15.140625" bestFit="1" customWidth="1"/>
    <col min="25" max="25" width="17.85546875" bestFit="1" customWidth="1"/>
  </cols>
  <sheetData>
    <row r="3" spans="2:25" ht="15.75" x14ac:dyDescent="0.25">
      <c r="N3" s="534" t="s">
        <v>0</v>
      </c>
      <c r="O3" s="534"/>
      <c r="P3" s="534"/>
      <c r="Q3" s="534"/>
      <c r="R3" s="534"/>
      <c r="S3" s="534"/>
      <c r="T3" s="534"/>
      <c r="U3" s="534"/>
    </row>
    <row r="4" spans="2:25" ht="18" x14ac:dyDescent="0.25">
      <c r="R4" s="712" t="s">
        <v>356</v>
      </c>
      <c r="S4" s="713"/>
      <c r="T4" s="713"/>
      <c r="U4" s="713"/>
    </row>
    <row r="5" spans="2:25" ht="16.5" x14ac:dyDescent="0.25">
      <c r="B5" s="521" t="s">
        <v>202</v>
      </c>
      <c r="C5" s="521"/>
      <c r="D5" s="521"/>
      <c r="E5" s="521"/>
      <c r="F5" s="521"/>
      <c r="G5" s="521"/>
      <c r="H5" s="521"/>
      <c r="I5" s="521"/>
      <c r="J5" s="521"/>
      <c r="K5" s="521"/>
      <c r="L5" s="521"/>
      <c r="M5" s="521"/>
      <c r="N5" s="521"/>
      <c r="O5" s="521"/>
      <c r="P5" s="521"/>
      <c r="Q5" s="521"/>
      <c r="R5" s="521"/>
      <c r="S5" s="521"/>
      <c r="T5" s="521"/>
      <c r="U5" s="521"/>
    </row>
    <row r="6" spans="2:25" ht="16.5" x14ac:dyDescent="0.25">
      <c r="B6" s="521" t="s">
        <v>221</v>
      </c>
      <c r="C6" s="521"/>
      <c r="D6" s="521"/>
      <c r="E6" s="521"/>
      <c r="F6" s="521"/>
      <c r="G6" s="521"/>
      <c r="H6" s="521"/>
      <c r="I6" s="521"/>
      <c r="J6" s="521"/>
      <c r="K6" s="521"/>
      <c r="L6" s="521"/>
      <c r="M6" s="521"/>
      <c r="N6" s="521"/>
      <c r="O6" s="521"/>
      <c r="P6" s="521"/>
      <c r="Q6" s="521"/>
      <c r="R6" s="521"/>
      <c r="S6" s="521"/>
      <c r="T6" s="521"/>
      <c r="U6" s="521"/>
    </row>
    <row r="7" spans="2:25" x14ac:dyDescent="0.25">
      <c r="B7" s="515" t="s">
        <v>3</v>
      </c>
      <c r="C7" s="515"/>
      <c r="D7" s="515"/>
      <c r="E7" s="515"/>
      <c r="F7" s="515"/>
      <c r="G7" s="515"/>
      <c r="H7" s="515"/>
      <c r="I7" s="515"/>
      <c r="J7" s="515"/>
      <c r="K7" s="84"/>
      <c r="L7" s="515" t="s">
        <v>72</v>
      </c>
      <c r="M7" s="515"/>
      <c r="N7" s="515"/>
      <c r="O7" s="515"/>
      <c r="P7" s="515"/>
      <c r="Q7" s="509" t="s">
        <v>4</v>
      </c>
      <c r="R7" s="509"/>
      <c r="S7" s="509"/>
      <c r="T7" s="509"/>
      <c r="U7" s="520" t="s">
        <v>40</v>
      </c>
    </row>
    <row r="8" spans="2:25" ht="41.25" customHeight="1" x14ac:dyDescent="0.25">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520"/>
    </row>
    <row r="9" spans="2:25" ht="79.5" customHeight="1" x14ac:dyDescent="0.25">
      <c r="B9" s="518" t="s">
        <v>222</v>
      </c>
      <c r="C9" s="577" t="s">
        <v>223</v>
      </c>
      <c r="D9" s="724" t="s">
        <v>224</v>
      </c>
      <c r="E9" s="727">
        <v>0</v>
      </c>
      <c r="F9" s="727">
        <v>0</v>
      </c>
      <c r="G9" s="727">
        <v>100</v>
      </c>
      <c r="H9" s="727">
        <v>430</v>
      </c>
      <c r="I9" s="563">
        <f t="shared" ref="I9:I14" si="0">SUM(E9:H9)</f>
        <v>530</v>
      </c>
      <c r="J9" s="730" t="s">
        <v>215</v>
      </c>
      <c r="K9" s="710" t="s">
        <v>30</v>
      </c>
      <c r="L9" s="667">
        <v>1</v>
      </c>
      <c r="M9" s="714" t="s">
        <v>225</v>
      </c>
      <c r="N9" s="710" t="s">
        <v>226</v>
      </c>
      <c r="O9" s="733">
        <v>0</v>
      </c>
      <c r="P9" s="714" t="s">
        <v>227</v>
      </c>
      <c r="Q9" s="720">
        <f>R9+S9+T9</f>
        <v>0</v>
      </c>
      <c r="R9" s="722">
        <v>0</v>
      </c>
      <c r="S9" s="722">
        <v>0</v>
      </c>
      <c r="T9" s="718">
        <v>0</v>
      </c>
      <c r="U9" s="716">
        <v>0</v>
      </c>
    </row>
    <row r="10" spans="2:25" ht="12.75" customHeight="1" x14ac:dyDescent="0.25">
      <c r="B10" s="518"/>
      <c r="C10" s="577"/>
      <c r="D10" s="725"/>
      <c r="E10" s="728"/>
      <c r="F10" s="728"/>
      <c r="G10" s="728"/>
      <c r="H10" s="728"/>
      <c r="I10" s="564"/>
      <c r="J10" s="731"/>
      <c r="K10" s="711"/>
      <c r="L10" s="669"/>
      <c r="M10" s="715"/>
      <c r="N10" s="711"/>
      <c r="O10" s="734"/>
      <c r="P10" s="715"/>
      <c r="Q10" s="721"/>
      <c r="R10" s="723"/>
      <c r="S10" s="723"/>
      <c r="T10" s="719"/>
      <c r="U10" s="717"/>
    </row>
    <row r="11" spans="2:25" ht="94.5" x14ac:dyDescent="0.25">
      <c r="B11" s="518"/>
      <c r="C11" s="577"/>
      <c r="D11" s="726"/>
      <c r="E11" s="729"/>
      <c r="F11" s="729"/>
      <c r="G11" s="729"/>
      <c r="H11" s="729"/>
      <c r="I11" s="568"/>
      <c r="J11" s="732"/>
      <c r="K11" s="59" t="s">
        <v>30</v>
      </c>
      <c r="L11" s="306">
        <v>2</v>
      </c>
      <c r="M11" s="59" t="s">
        <v>228</v>
      </c>
      <c r="N11" s="59" t="s">
        <v>229</v>
      </c>
      <c r="O11" s="131">
        <v>0.8</v>
      </c>
      <c r="P11" s="59" t="s">
        <v>125</v>
      </c>
      <c r="Q11" s="143">
        <f>SUM(R11:T11)</f>
        <v>1814888210</v>
      </c>
      <c r="R11" s="147">
        <f>1760000000+150000000-75111790-159964668-370000000</f>
        <v>1304923542</v>
      </c>
      <c r="S11" s="147">
        <v>350000000</v>
      </c>
      <c r="T11" s="83">
        <v>159964668</v>
      </c>
      <c r="U11" s="63">
        <v>4621550777</v>
      </c>
      <c r="W11" s="200"/>
      <c r="X11" s="166"/>
      <c r="Y11" s="166"/>
    </row>
    <row r="12" spans="2:25" ht="60" customHeight="1" x14ac:dyDescent="0.25">
      <c r="B12" s="518"/>
      <c r="C12" s="577"/>
      <c r="D12" s="59" t="s">
        <v>230</v>
      </c>
      <c r="E12" s="57">
        <v>5</v>
      </c>
      <c r="F12" s="57">
        <v>5</v>
      </c>
      <c r="G12" s="57">
        <v>5</v>
      </c>
      <c r="H12" s="57">
        <v>5</v>
      </c>
      <c r="I12" s="58">
        <f t="shared" si="0"/>
        <v>20</v>
      </c>
      <c r="J12" s="59" t="s">
        <v>215</v>
      </c>
      <c r="K12" s="59" t="s">
        <v>30</v>
      </c>
      <c r="L12" s="58">
        <v>3</v>
      </c>
      <c r="M12" s="59" t="s">
        <v>231</v>
      </c>
      <c r="N12" s="59" t="s">
        <v>232</v>
      </c>
      <c r="O12" s="137">
        <v>5</v>
      </c>
      <c r="P12" s="59" t="s">
        <v>227</v>
      </c>
      <c r="Q12" s="143">
        <f>R12+S12+T12</f>
        <v>0</v>
      </c>
      <c r="R12" s="147">
        <v>0</v>
      </c>
      <c r="S12" s="147">
        <v>0</v>
      </c>
      <c r="T12" s="83">
        <v>0</v>
      </c>
      <c r="U12" s="63">
        <v>0</v>
      </c>
    </row>
    <row r="13" spans="2:25" ht="94.5" x14ac:dyDescent="0.25">
      <c r="B13" s="518"/>
      <c r="C13" s="577"/>
      <c r="D13" s="59" t="s">
        <v>233</v>
      </c>
      <c r="E13" s="57">
        <v>0</v>
      </c>
      <c r="F13" s="57">
        <v>15</v>
      </c>
      <c r="G13" s="57">
        <v>15</v>
      </c>
      <c r="H13" s="57">
        <v>10</v>
      </c>
      <c r="I13" s="58">
        <f t="shared" si="0"/>
        <v>40</v>
      </c>
      <c r="J13" s="59" t="s">
        <v>215</v>
      </c>
      <c r="K13" s="59" t="s">
        <v>30</v>
      </c>
      <c r="L13" s="306">
        <v>4</v>
      </c>
      <c r="M13" s="59" t="s">
        <v>234</v>
      </c>
      <c r="N13" s="59" t="s">
        <v>233</v>
      </c>
      <c r="O13" s="137">
        <v>15</v>
      </c>
      <c r="P13" s="59" t="s">
        <v>227</v>
      </c>
      <c r="Q13" s="143">
        <f>R13+S13+T13</f>
        <v>260000000</v>
      </c>
      <c r="R13" s="147">
        <v>0</v>
      </c>
      <c r="S13" s="147">
        <v>0</v>
      </c>
      <c r="T13" s="83">
        <v>260000000</v>
      </c>
      <c r="U13" s="63">
        <v>0</v>
      </c>
    </row>
    <row r="14" spans="2:25" ht="94.5" x14ac:dyDescent="0.25">
      <c r="B14" s="518"/>
      <c r="C14" s="577"/>
      <c r="D14" s="59" t="s">
        <v>235</v>
      </c>
      <c r="E14" s="69">
        <v>0</v>
      </c>
      <c r="F14" s="69">
        <v>0.35</v>
      </c>
      <c r="G14" s="69">
        <v>0.35</v>
      </c>
      <c r="H14" s="69">
        <v>0.3</v>
      </c>
      <c r="I14" s="131">
        <f t="shared" si="0"/>
        <v>1</v>
      </c>
      <c r="J14" s="59" t="s">
        <v>215</v>
      </c>
      <c r="K14" s="59" t="s">
        <v>30</v>
      </c>
      <c r="L14" s="58">
        <v>5</v>
      </c>
      <c r="M14" s="59" t="s">
        <v>236</v>
      </c>
      <c r="N14" s="59" t="s">
        <v>237</v>
      </c>
      <c r="O14" s="131">
        <v>0.35</v>
      </c>
      <c r="P14" s="59" t="s">
        <v>125</v>
      </c>
      <c r="Q14" s="143">
        <f>R14+S14+T14</f>
        <v>80000000</v>
      </c>
      <c r="R14" s="147">
        <v>0</v>
      </c>
      <c r="S14" s="147">
        <v>0</v>
      </c>
      <c r="T14" s="83">
        <v>80000000</v>
      </c>
      <c r="U14" s="63">
        <v>0</v>
      </c>
      <c r="W14" s="166"/>
    </row>
    <row r="15" spans="2:25" ht="94.5" x14ac:dyDescent="0.25">
      <c r="B15" s="518"/>
      <c r="C15" s="577"/>
      <c r="D15" s="59" t="s">
        <v>238</v>
      </c>
      <c r="E15" s="57">
        <v>0</v>
      </c>
      <c r="F15" s="57">
        <v>1</v>
      </c>
      <c r="G15" s="57">
        <v>0</v>
      </c>
      <c r="H15" s="57">
        <v>0</v>
      </c>
      <c r="I15" s="58">
        <v>1</v>
      </c>
      <c r="J15" s="59" t="s">
        <v>215</v>
      </c>
      <c r="K15" s="59" t="s">
        <v>30</v>
      </c>
      <c r="L15" s="58">
        <v>6</v>
      </c>
      <c r="M15" s="59" t="s">
        <v>239</v>
      </c>
      <c r="N15" s="59" t="s">
        <v>240</v>
      </c>
      <c r="O15" s="137">
        <v>1</v>
      </c>
      <c r="P15" s="59" t="s">
        <v>125</v>
      </c>
      <c r="Q15" s="143">
        <f>R15+S15+T15</f>
        <v>0</v>
      </c>
      <c r="R15" s="147">
        <v>0</v>
      </c>
      <c r="S15" s="147">
        <v>0</v>
      </c>
      <c r="T15" s="83">
        <v>0</v>
      </c>
      <c r="U15" s="63">
        <v>0</v>
      </c>
    </row>
    <row r="16" spans="2:25" ht="15.75" x14ac:dyDescent="0.25">
      <c r="B16" s="632" t="s">
        <v>53</v>
      </c>
      <c r="C16" s="632"/>
      <c r="D16" s="632"/>
      <c r="E16" s="632"/>
      <c r="F16" s="632"/>
      <c r="G16" s="632"/>
      <c r="H16" s="632"/>
      <c r="I16" s="632"/>
      <c r="J16" s="632"/>
      <c r="K16" s="632"/>
      <c r="L16" s="632"/>
      <c r="M16" s="632"/>
      <c r="N16" s="632"/>
      <c r="O16" s="632"/>
      <c r="P16" s="632"/>
      <c r="Q16" s="89">
        <f>SUBTOTAL(9,Q8:Q15)</f>
        <v>2154888210</v>
      </c>
      <c r="R16" s="163">
        <f>R15+R14+R13+R12+R11+R9</f>
        <v>1304923542</v>
      </c>
      <c r="S16" s="163">
        <f>SUBTOTAL(9,S8:S15)</f>
        <v>350000000</v>
      </c>
      <c r="T16" s="163">
        <f>SUBTOTAL(9,T8:T15)</f>
        <v>499964668</v>
      </c>
      <c r="U16" s="163">
        <f>SUBTOTAL(9,U8:U15)</f>
        <v>4621550777</v>
      </c>
    </row>
    <row r="18" spans="2:25" ht="90" x14ac:dyDescent="0.25">
      <c r="B18" s="311" t="s">
        <v>394</v>
      </c>
      <c r="U18" s="315" t="s">
        <v>397</v>
      </c>
      <c r="Y18" s="187"/>
    </row>
    <row r="19" spans="2:25" x14ac:dyDescent="0.25">
      <c r="B19" s="243" t="s">
        <v>392</v>
      </c>
      <c r="T19" s="316"/>
    </row>
    <row r="20" spans="2:25" x14ac:dyDescent="0.25">
      <c r="R20" s="185"/>
      <c r="Y20" s="186"/>
    </row>
    <row r="21" spans="2:25" x14ac:dyDescent="0.25">
      <c r="R21" s="185"/>
      <c r="S21" s="186"/>
    </row>
    <row r="22" spans="2:25" x14ac:dyDescent="0.25">
      <c r="R22" s="185"/>
    </row>
    <row r="23" spans="2:25" x14ac:dyDescent="0.25">
      <c r="R23" s="185"/>
    </row>
    <row r="24" spans="2:25" x14ac:dyDescent="0.25">
      <c r="R24" s="185"/>
      <c r="S24" s="186"/>
    </row>
    <row r="25" spans="2:25" x14ac:dyDescent="0.25">
      <c r="R25" s="185"/>
    </row>
    <row r="26" spans="2:25" x14ac:dyDescent="0.25">
      <c r="R26" s="185"/>
    </row>
    <row r="27" spans="2:25" x14ac:dyDescent="0.25">
      <c r="R27" s="185"/>
    </row>
    <row r="28" spans="2:25" x14ac:dyDescent="0.25">
      <c r="R28" s="185"/>
    </row>
    <row r="29" spans="2:25" x14ac:dyDescent="0.25">
      <c r="R29" s="185"/>
    </row>
    <row r="30" spans="2:25" x14ac:dyDescent="0.25">
      <c r="R30" s="185"/>
    </row>
    <row r="31" spans="2:25" x14ac:dyDescent="0.25">
      <c r="R31" s="185"/>
    </row>
    <row r="32" spans="2:25" x14ac:dyDescent="0.25">
      <c r="R32" s="185"/>
    </row>
  </sheetData>
  <mergeCells count="29">
    <mergeCell ref="B16:P16"/>
    <mergeCell ref="K9:K10"/>
    <mergeCell ref="B5:U5"/>
    <mergeCell ref="B6:U6"/>
    <mergeCell ref="B7:J7"/>
    <mergeCell ref="D9:D11"/>
    <mergeCell ref="S9:S10"/>
    <mergeCell ref="I9:I11"/>
    <mergeCell ref="H9:H11"/>
    <mergeCell ref="G9:G11"/>
    <mergeCell ref="F9:F11"/>
    <mergeCell ref="J9:J11"/>
    <mergeCell ref="L9:L10"/>
    <mergeCell ref="O9:O10"/>
    <mergeCell ref="P9:P10"/>
    <mergeCell ref="E9:E11"/>
    <mergeCell ref="B9:B15"/>
    <mergeCell ref="C9:C15"/>
    <mergeCell ref="N9:N10"/>
    <mergeCell ref="N3:U3"/>
    <mergeCell ref="R4:U4"/>
    <mergeCell ref="M9:M10"/>
    <mergeCell ref="L7:P7"/>
    <mergeCell ref="U9:U10"/>
    <mergeCell ref="Q7:T7"/>
    <mergeCell ref="U7:U8"/>
    <mergeCell ref="T9:T10"/>
    <mergeCell ref="Q9:Q10"/>
    <mergeCell ref="R9:R10"/>
  </mergeCells>
  <conditionalFormatting sqref="E9:H14">
    <cfRule type="expression" dxfId="37" priority="2" stopIfTrue="1">
      <formula>+IF((#REF!+#REF!+#REF!+#REF!+#REF!)&lt;&gt;$L9,1,0)</formula>
    </cfRule>
  </conditionalFormatting>
  <conditionalFormatting sqref="E15:H15">
    <cfRule type="expression" dxfId="36" priority="1" stopIfTrue="1">
      <formula>+IF((#REF!+#REF!+#REF!+#REF!+#REF!)&lt;&gt;$L15,1,0)</formula>
    </cfRule>
  </conditionalFormatting>
  <dataValidations count="3">
    <dataValidation type="list" allowBlank="1" showInputMessage="1" showErrorMessage="1" sqref="P9 P11:P15">
      <formula1>$Q$28:$Q$53</formula1>
    </dataValidation>
    <dataValidation type="list" allowBlank="1" showInputMessage="1" showErrorMessage="1" sqref="K11:K15 K9">
      <formula1>$I$22:$I$26</formula1>
    </dataValidation>
    <dataValidation type="list" allowBlank="1" showInputMessage="1" showErrorMessage="1" sqref="J9:J15">
      <formula1>$U$28:$U$36</formula1>
    </dataValidation>
  </dataValidations>
  <pageMargins left="0.7" right="0.7" top="0.75" bottom="0.75" header="0.3" footer="0.3"/>
  <pageSetup orientation="portrait" r:id="rId1"/>
  <ignoredErrors>
    <ignoredError sqref="Q9 Q11:Q15 R11" unlockedFormula="1"/>
    <ignoredError sqref="R16"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AA31"/>
  <sheetViews>
    <sheetView topLeftCell="S1" zoomScale="80" zoomScaleNormal="80" workbookViewId="0">
      <selection activeCell="W6" sqref="W6:Y6"/>
    </sheetView>
  </sheetViews>
  <sheetFormatPr baseColWidth="10" defaultRowHeight="15" x14ac:dyDescent="0.25"/>
  <cols>
    <col min="2" max="2" width="22.42578125" customWidth="1"/>
    <col min="3" max="3" width="19.28515625" customWidth="1"/>
    <col min="4" max="4" width="20.7109375" customWidth="1"/>
    <col min="5" max="6" width="6.42578125" customWidth="1"/>
    <col min="7" max="7" width="6.5703125" customWidth="1"/>
    <col min="8" max="8" width="6" customWidth="1"/>
    <col min="9" max="9" width="12.85546875" customWidth="1"/>
    <col min="11" max="11" width="20.28515625" customWidth="1"/>
    <col min="12" max="12" width="6" customWidth="1"/>
    <col min="13" max="13" width="22.140625" customWidth="1"/>
    <col min="14" max="14" width="15" customWidth="1"/>
    <col min="15" max="15" width="10.28515625" customWidth="1"/>
    <col min="16" max="16" width="17.28515625" customWidth="1"/>
    <col min="17" max="17" width="21.7109375" customWidth="1"/>
    <col min="18" max="18" width="20.5703125" customWidth="1"/>
    <col min="19" max="19" width="19.140625" customWidth="1"/>
    <col min="20" max="20" width="19" customWidth="1"/>
    <col min="21" max="21" width="21" customWidth="1"/>
    <col min="22" max="22" width="48.7109375" customWidth="1"/>
    <col min="23" max="23" width="71.42578125" customWidth="1"/>
    <col min="24" max="24" width="45.5703125" customWidth="1"/>
    <col min="25" max="25" width="77.42578125" customWidth="1"/>
    <col min="26" max="26" width="33.28515625" customWidth="1"/>
  </cols>
  <sheetData>
    <row r="3" spans="2:27" ht="15.75" x14ac:dyDescent="0.25">
      <c r="N3" s="534" t="s">
        <v>0</v>
      </c>
      <c r="O3" s="534"/>
      <c r="P3" s="534"/>
      <c r="Q3" s="534"/>
      <c r="R3" s="534"/>
      <c r="S3" s="534"/>
      <c r="T3" s="534"/>
      <c r="U3" s="534"/>
    </row>
    <row r="4" spans="2:27" ht="18" x14ac:dyDescent="0.25">
      <c r="R4" s="712" t="s">
        <v>356</v>
      </c>
      <c r="S4" s="713"/>
      <c r="T4" s="713"/>
      <c r="U4" s="713"/>
    </row>
    <row r="5" spans="2:27" ht="16.5" x14ac:dyDescent="0.25">
      <c r="B5" s="521" t="s">
        <v>202</v>
      </c>
      <c r="C5" s="521"/>
      <c r="D5" s="521"/>
      <c r="E5" s="521"/>
      <c r="F5" s="521"/>
      <c r="G5" s="521"/>
      <c r="H5" s="521"/>
      <c r="I5" s="521"/>
      <c r="J5" s="521"/>
      <c r="K5" s="521"/>
      <c r="L5" s="521"/>
      <c r="M5" s="521"/>
      <c r="N5" s="521"/>
      <c r="O5" s="521"/>
      <c r="P5" s="521"/>
      <c r="Q5" s="521"/>
      <c r="R5" s="521"/>
      <c r="S5" s="521"/>
      <c r="T5" s="521"/>
      <c r="U5" s="521"/>
    </row>
    <row r="6" spans="2:27" ht="16.5" x14ac:dyDescent="0.25">
      <c r="B6" s="521" t="s">
        <v>221</v>
      </c>
      <c r="C6" s="521"/>
      <c r="D6" s="521"/>
      <c r="E6" s="521"/>
      <c r="F6" s="521"/>
      <c r="G6" s="521"/>
      <c r="H6" s="521"/>
      <c r="I6" s="521"/>
      <c r="J6" s="521"/>
      <c r="K6" s="521"/>
      <c r="L6" s="521"/>
      <c r="M6" s="521"/>
      <c r="N6" s="521"/>
      <c r="O6" s="521"/>
      <c r="P6" s="521"/>
      <c r="Q6" s="521"/>
      <c r="R6" s="521"/>
      <c r="S6" s="521"/>
      <c r="T6" s="521"/>
      <c r="U6" s="521"/>
      <c r="W6" s="705" t="s">
        <v>413</v>
      </c>
      <c r="X6" s="705"/>
      <c r="Y6" s="705"/>
    </row>
    <row r="7" spans="2:27" ht="15.75" x14ac:dyDescent="0.25">
      <c r="B7" s="515" t="s">
        <v>3</v>
      </c>
      <c r="C7" s="515"/>
      <c r="D7" s="515"/>
      <c r="E7" s="515"/>
      <c r="F7" s="515"/>
      <c r="G7" s="515"/>
      <c r="H7" s="515"/>
      <c r="I7" s="515"/>
      <c r="J7" s="515"/>
      <c r="K7" s="275"/>
      <c r="L7" s="515" t="s">
        <v>72</v>
      </c>
      <c r="M7" s="515"/>
      <c r="N7" s="515"/>
      <c r="O7" s="515"/>
      <c r="P7" s="515"/>
      <c r="Q7" s="509" t="s">
        <v>4</v>
      </c>
      <c r="R7" s="509"/>
      <c r="S7" s="509"/>
      <c r="T7" s="509"/>
      <c r="U7" s="520" t="s">
        <v>40</v>
      </c>
      <c r="W7" s="553" t="s">
        <v>410</v>
      </c>
      <c r="X7" s="554"/>
      <c r="Y7" s="735" t="s">
        <v>445</v>
      </c>
    </row>
    <row r="8" spans="2:27" ht="41.25" customHeight="1" x14ac:dyDescent="0.25">
      <c r="B8" s="273" t="s">
        <v>51</v>
      </c>
      <c r="C8" s="273" t="s">
        <v>12</v>
      </c>
      <c r="D8" s="273" t="s">
        <v>52</v>
      </c>
      <c r="E8" s="273" t="s">
        <v>24</v>
      </c>
      <c r="F8" s="273" t="s">
        <v>25</v>
      </c>
      <c r="G8" s="273" t="s">
        <v>26</v>
      </c>
      <c r="H8" s="273" t="s">
        <v>27</v>
      </c>
      <c r="I8" s="273" t="s">
        <v>28</v>
      </c>
      <c r="J8" s="273" t="s">
        <v>29</v>
      </c>
      <c r="K8" s="273" t="s">
        <v>47</v>
      </c>
      <c r="L8" s="279" t="s">
        <v>14</v>
      </c>
      <c r="M8" s="279" t="s">
        <v>79</v>
      </c>
      <c r="N8" s="279" t="s">
        <v>15</v>
      </c>
      <c r="O8" s="279" t="s">
        <v>16</v>
      </c>
      <c r="P8" s="273" t="s">
        <v>48</v>
      </c>
      <c r="Q8" s="279" t="s">
        <v>17</v>
      </c>
      <c r="R8" s="279" t="s">
        <v>18</v>
      </c>
      <c r="S8" s="279" t="s">
        <v>19</v>
      </c>
      <c r="T8" s="279" t="s">
        <v>361</v>
      </c>
      <c r="U8" s="520"/>
      <c r="V8" s="356" t="s">
        <v>426</v>
      </c>
      <c r="W8" s="338" t="s">
        <v>408</v>
      </c>
      <c r="X8" s="338" t="s">
        <v>409</v>
      </c>
      <c r="Y8" s="736"/>
    </row>
    <row r="9" spans="2:27" ht="100.5" customHeight="1" x14ac:dyDescent="0.25">
      <c r="B9" s="518" t="s">
        <v>222</v>
      </c>
      <c r="C9" s="577" t="s">
        <v>223</v>
      </c>
      <c r="D9" s="730" t="s">
        <v>224</v>
      </c>
      <c r="E9" s="727">
        <v>0</v>
      </c>
      <c r="F9" s="727">
        <v>0</v>
      </c>
      <c r="G9" s="727">
        <v>100</v>
      </c>
      <c r="H9" s="727">
        <v>430</v>
      </c>
      <c r="I9" s="747">
        <f t="shared" ref="I9:I14" si="0">SUM(E9:H9)</f>
        <v>530</v>
      </c>
      <c r="J9" s="730" t="s">
        <v>215</v>
      </c>
      <c r="K9" s="710" t="s">
        <v>30</v>
      </c>
      <c r="L9" s="667">
        <v>1</v>
      </c>
      <c r="M9" s="750" t="s">
        <v>225</v>
      </c>
      <c r="N9" s="502" t="s">
        <v>226</v>
      </c>
      <c r="O9" s="737">
        <v>0</v>
      </c>
      <c r="P9" s="490" t="s">
        <v>227</v>
      </c>
      <c r="Q9" s="739">
        <f>R9+S9+T9</f>
        <v>0</v>
      </c>
      <c r="R9" s="741">
        <v>0</v>
      </c>
      <c r="S9" s="741">
        <v>0</v>
      </c>
      <c r="T9" s="743">
        <v>0</v>
      </c>
      <c r="U9" s="745">
        <v>0</v>
      </c>
      <c r="V9" s="537" t="s">
        <v>496</v>
      </c>
      <c r="W9" s="548" t="s">
        <v>501</v>
      </c>
      <c r="X9" s="548" t="s">
        <v>594</v>
      </c>
      <c r="Y9" s="548" t="s">
        <v>518</v>
      </c>
      <c r="Z9" s="541" t="s">
        <v>595</v>
      </c>
    </row>
    <row r="10" spans="2:27" ht="86.25" customHeight="1" x14ac:dyDescent="0.25">
      <c r="B10" s="518"/>
      <c r="C10" s="577"/>
      <c r="D10" s="731"/>
      <c r="E10" s="728"/>
      <c r="F10" s="728"/>
      <c r="G10" s="728"/>
      <c r="H10" s="728"/>
      <c r="I10" s="748"/>
      <c r="J10" s="731"/>
      <c r="K10" s="711"/>
      <c r="L10" s="669"/>
      <c r="M10" s="751"/>
      <c r="N10" s="504"/>
      <c r="O10" s="738"/>
      <c r="P10" s="493"/>
      <c r="Q10" s="740"/>
      <c r="R10" s="742"/>
      <c r="S10" s="742"/>
      <c r="T10" s="744"/>
      <c r="U10" s="746"/>
      <c r="V10" s="537"/>
      <c r="W10" s="548"/>
      <c r="X10" s="548"/>
      <c r="Y10" s="589"/>
      <c r="Z10" s="541"/>
    </row>
    <row r="11" spans="2:27" ht="177" customHeight="1" x14ac:dyDescent="0.25">
      <c r="B11" s="518"/>
      <c r="C11" s="577"/>
      <c r="D11" s="732"/>
      <c r="E11" s="729"/>
      <c r="F11" s="729"/>
      <c r="G11" s="729"/>
      <c r="H11" s="729"/>
      <c r="I11" s="749"/>
      <c r="J11" s="732"/>
      <c r="K11" s="269" t="s">
        <v>30</v>
      </c>
      <c r="L11" s="307">
        <v>2</v>
      </c>
      <c r="M11" s="351" t="s">
        <v>228</v>
      </c>
      <c r="N11" s="269" t="s">
        <v>229</v>
      </c>
      <c r="O11" s="131">
        <v>0.8</v>
      </c>
      <c r="P11" s="269" t="s">
        <v>125</v>
      </c>
      <c r="Q11" s="352">
        <f>SUM(R11:T11)</f>
        <v>1814888210</v>
      </c>
      <c r="R11" s="353">
        <f>1760000000+150000000-75111790-159964668-370000000</f>
        <v>1304923542</v>
      </c>
      <c r="S11" s="353">
        <v>350000000</v>
      </c>
      <c r="T11" s="354">
        <v>159964668</v>
      </c>
      <c r="U11" s="355">
        <v>4621550777</v>
      </c>
      <c r="V11" s="381" t="s">
        <v>497</v>
      </c>
      <c r="W11" s="358" t="s">
        <v>502</v>
      </c>
      <c r="X11" s="384" t="s">
        <v>503</v>
      </c>
      <c r="Y11" s="358" t="s">
        <v>505</v>
      </c>
      <c r="Z11" s="379" t="s">
        <v>504</v>
      </c>
    </row>
    <row r="12" spans="2:27" ht="131.25" customHeight="1" x14ac:dyDescent="0.25">
      <c r="B12" s="518"/>
      <c r="C12" s="577"/>
      <c r="D12" s="269" t="s">
        <v>230</v>
      </c>
      <c r="E12" s="270">
        <v>5</v>
      </c>
      <c r="F12" s="270">
        <v>5</v>
      </c>
      <c r="G12" s="270">
        <v>5</v>
      </c>
      <c r="H12" s="270">
        <v>5</v>
      </c>
      <c r="I12" s="272">
        <f t="shared" si="0"/>
        <v>20</v>
      </c>
      <c r="J12" s="269" t="s">
        <v>215</v>
      </c>
      <c r="K12" s="269" t="s">
        <v>30</v>
      </c>
      <c r="L12" s="272">
        <v>3</v>
      </c>
      <c r="M12" s="269" t="s">
        <v>231</v>
      </c>
      <c r="N12" s="269" t="s">
        <v>232</v>
      </c>
      <c r="O12" s="137">
        <v>5</v>
      </c>
      <c r="P12" s="269" t="s">
        <v>227</v>
      </c>
      <c r="Q12" s="352">
        <f>R12+S12+T12</f>
        <v>0</v>
      </c>
      <c r="R12" s="353">
        <v>0</v>
      </c>
      <c r="S12" s="353">
        <v>0</v>
      </c>
      <c r="T12" s="354">
        <v>0</v>
      </c>
      <c r="U12" s="355">
        <v>0</v>
      </c>
      <c r="V12" s="381" t="s">
        <v>498</v>
      </c>
      <c r="W12" s="358" t="s">
        <v>506</v>
      </c>
      <c r="X12" s="378" t="s">
        <v>587</v>
      </c>
      <c r="Y12" s="367" t="s">
        <v>618</v>
      </c>
      <c r="Z12" s="379" t="s">
        <v>596</v>
      </c>
    </row>
    <row r="13" spans="2:27" ht="165.75" x14ac:dyDescent="0.25">
      <c r="B13" s="518"/>
      <c r="C13" s="577"/>
      <c r="D13" s="269" t="s">
        <v>233</v>
      </c>
      <c r="E13" s="270">
        <v>0</v>
      </c>
      <c r="F13" s="270">
        <v>15</v>
      </c>
      <c r="G13" s="270">
        <v>15</v>
      </c>
      <c r="H13" s="270">
        <v>10</v>
      </c>
      <c r="I13" s="272">
        <f t="shared" si="0"/>
        <v>40</v>
      </c>
      <c r="J13" s="269" t="s">
        <v>215</v>
      </c>
      <c r="K13" s="269" t="s">
        <v>30</v>
      </c>
      <c r="L13" s="307">
        <v>4</v>
      </c>
      <c r="M13" s="269" t="s">
        <v>234</v>
      </c>
      <c r="N13" s="269" t="s">
        <v>233</v>
      </c>
      <c r="O13" s="137">
        <v>15</v>
      </c>
      <c r="P13" s="269" t="s">
        <v>227</v>
      </c>
      <c r="Q13" s="352">
        <f>R13+S13+T13</f>
        <v>260000000</v>
      </c>
      <c r="R13" s="353">
        <v>0</v>
      </c>
      <c r="S13" s="353">
        <v>0</v>
      </c>
      <c r="T13" s="354">
        <v>260000000</v>
      </c>
      <c r="U13" s="355">
        <v>0</v>
      </c>
      <c r="V13" s="381" t="s">
        <v>499</v>
      </c>
      <c r="W13" s="367" t="s">
        <v>508</v>
      </c>
      <c r="X13" s="367" t="s">
        <v>509</v>
      </c>
      <c r="Y13" s="367" t="s">
        <v>507</v>
      </c>
      <c r="Z13" s="379" t="s">
        <v>510</v>
      </c>
      <c r="AA13" s="385"/>
    </row>
    <row r="14" spans="2:27" ht="153" x14ac:dyDescent="0.25">
      <c r="B14" s="518"/>
      <c r="C14" s="577"/>
      <c r="D14" s="269" t="s">
        <v>235</v>
      </c>
      <c r="E14" s="69">
        <v>0</v>
      </c>
      <c r="F14" s="69">
        <v>0.35</v>
      </c>
      <c r="G14" s="69">
        <v>0.35</v>
      </c>
      <c r="H14" s="69">
        <v>0.3</v>
      </c>
      <c r="I14" s="131">
        <f t="shared" si="0"/>
        <v>1</v>
      </c>
      <c r="J14" s="269" t="s">
        <v>215</v>
      </c>
      <c r="K14" s="269" t="s">
        <v>30</v>
      </c>
      <c r="L14" s="272">
        <v>5</v>
      </c>
      <c r="M14" s="269" t="s">
        <v>236</v>
      </c>
      <c r="N14" s="269" t="s">
        <v>237</v>
      </c>
      <c r="O14" s="131">
        <v>0.35</v>
      </c>
      <c r="P14" s="269" t="s">
        <v>125</v>
      </c>
      <c r="Q14" s="352">
        <f>R14+S14+T14</f>
        <v>80000000</v>
      </c>
      <c r="R14" s="353">
        <v>0</v>
      </c>
      <c r="S14" s="353">
        <v>0</v>
      </c>
      <c r="T14" s="354">
        <v>80000000</v>
      </c>
      <c r="U14" s="355">
        <v>0</v>
      </c>
      <c r="V14" s="381" t="s">
        <v>500</v>
      </c>
      <c r="W14" s="367" t="s">
        <v>511</v>
      </c>
      <c r="X14" s="367" t="s">
        <v>513</v>
      </c>
      <c r="Y14" s="367" t="s">
        <v>514</v>
      </c>
      <c r="Z14" s="379" t="s">
        <v>512</v>
      </c>
    </row>
    <row r="15" spans="2:27" ht="94.5" x14ac:dyDescent="0.25">
      <c r="B15" s="518"/>
      <c r="C15" s="577"/>
      <c r="D15" s="269" t="s">
        <v>238</v>
      </c>
      <c r="E15" s="270">
        <v>0</v>
      </c>
      <c r="F15" s="270">
        <v>1</v>
      </c>
      <c r="G15" s="270">
        <v>0</v>
      </c>
      <c r="H15" s="270">
        <v>0</v>
      </c>
      <c r="I15" s="272">
        <v>1</v>
      </c>
      <c r="J15" s="269" t="s">
        <v>215</v>
      </c>
      <c r="K15" s="269" t="s">
        <v>30</v>
      </c>
      <c r="L15" s="272">
        <v>6</v>
      </c>
      <c r="M15" s="269" t="s">
        <v>239</v>
      </c>
      <c r="N15" s="269" t="s">
        <v>240</v>
      </c>
      <c r="O15" s="137">
        <v>1</v>
      </c>
      <c r="P15" s="269" t="s">
        <v>125</v>
      </c>
      <c r="Q15" s="352">
        <f>R15+S15+T15</f>
        <v>0</v>
      </c>
      <c r="R15" s="353">
        <v>0</v>
      </c>
      <c r="S15" s="353">
        <v>0</v>
      </c>
      <c r="T15" s="354">
        <v>0</v>
      </c>
      <c r="U15" s="355">
        <v>0</v>
      </c>
      <c r="V15" s="381" t="s">
        <v>516</v>
      </c>
      <c r="W15" s="367" t="s">
        <v>515</v>
      </c>
      <c r="X15" s="378" t="s">
        <v>587</v>
      </c>
      <c r="Y15" s="367" t="s">
        <v>517</v>
      </c>
      <c r="Z15" s="379" t="s">
        <v>597</v>
      </c>
    </row>
    <row r="16" spans="2:27" ht="15.75" x14ac:dyDescent="0.25">
      <c r="B16" s="632" t="s">
        <v>53</v>
      </c>
      <c r="C16" s="632"/>
      <c r="D16" s="632"/>
      <c r="E16" s="632"/>
      <c r="F16" s="632"/>
      <c r="G16" s="632"/>
      <c r="H16" s="632"/>
      <c r="I16" s="632"/>
      <c r="J16" s="632"/>
      <c r="K16" s="632"/>
      <c r="L16" s="632"/>
      <c r="M16" s="632"/>
      <c r="N16" s="632"/>
      <c r="O16" s="632"/>
      <c r="P16" s="632"/>
      <c r="Q16" s="89">
        <f>SUBTOTAL(9,Q8:Q15)</f>
        <v>2154888210</v>
      </c>
      <c r="R16" s="163">
        <f>R15+R14+R13+R12+R11+R9</f>
        <v>1304923542</v>
      </c>
      <c r="S16" s="163">
        <f>SUBTOTAL(9,S8:S15)</f>
        <v>350000000</v>
      </c>
      <c r="T16" s="163">
        <f>SUBTOTAL(9,T8:T15)</f>
        <v>499964668</v>
      </c>
      <c r="U16" s="163">
        <f>SUBTOTAL(9,U8:U15)</f>
        <v>4621550777</v>
      </c>
    </row>
    <row r="17" spans="2:25" ht="111.75" customHeight="1" x14ac:dyDescent="0.25">
      <c r="B17" s="559" t="s">
        <v>529</v>
      </c>
      <c r="C17" s="559"/>
      <c r="D17" s="559"/>
      <c r="E17" s="559"/>
      <c r="F17" s="559"/>
      <c r="G17" s="559"/>
      <c r="H17" s="559"/>
      <c r="I17" s="559"/>
      <c r="J17" s="559"/>
      <c r="K17" s="559"/>
      <c r="L17" s="559"/>
      <c r="M17" s="559"/>
      <c r="N17" s="559"/>
      <c r="O17" s="559"/>
      <c r="P17" s="559"/>
      <c r="Q17" s="559"/>
      <c r="R17" s="559"/>
      <c r="S17" s="559"/>
      <c r="T17" s="559"/>
      <c r="U17" s="559"/>
    </row>
    <row r="18" spans="2:25" ht="60.75" customHeight="1" x14ac:dyDescent="0.25">
      <c r="B18" s="311" t="s">
        <v>394</v>
      </c>
      <c r="U18" s="315" t="s">
        <v>397</v>
      </c>
      <c r="W18" s="315"/>
    </row>
    <row r="19" spans="2:25" x14ac:dyDescent="0.25">
      <c r="R19" s="185"/>
      <c r="Y19" s="186"/>
    </row>
    <row r="20" spans="2:25" x14ac:dyDescent="0.25">
      <c r="R20" s="185"/>
      <c r="S20" s="186"/>
    </row>
    <row r="21" spans="2:25" x14ac:dyDescent="0.25">
      <c r="R21" s="185"/>
    </row>
    <row r="22" spans="2:25" x14ac:dyDescent="0.25">
      <c r="R22" s="185"/>
    </row>
    <row r="23" spans="2:25" x14ac:dyDescent="0.25">
      <c r="R23" s="185"/>
      <c r="S23" s="186"/>
    </row>
    <row r="24" spans="2:25" x14ac:dyDescent="0.25">
      <c r="R24" s="185"/>
    </row>
    <row r="25" spans="2:25" x14ac:dyDescent="0.25">
      <c r="R25" s="185"/>
    </row>
    <row r="26" spans="2:25" x14ac:dyDescent="0.25">
      <c r="R26" s="185"/>
    </row>
    <row r="27" spans="2:25" x14ac:dyDescent="0.25">
      <c r="R27" s="185"/>
    </row>
    <row r="28" spans="2:25" x14ac:dyDescent="0.25">
      <c r="R28" s="185"/>
    </row>
    <row r="29" spans="2:25" x14ac:dyDescent="0.25">
      <c r="R29" s="185"/>
    </row>
    <row r="30" spans="2:25" x14ac:dyDescent="0.25">
      <c r="R30" s="185"/>
    </row>
    <row r="31" spans="2:25" x14ac:dyDescent="0.25">
      <c r="R31" s="185"/>
    </row>
  </sheetData>
  <mergeCells count="38">
    <mergeCell ref="N3:U3"/>
    <mergeCell ref="R4:U4"/>
    <mergeCell ref="B5:U5"/>
    <mergeCell ref="B6:U6"/>
    <mergeCell ref="B7:J7"/>
    <mergeCell ref="L7:P7"/>
    <mergeCell ref="Q7:T7"/>
    <mergeCell ref="U7:U8"/>
    <mergeCell ref="G9:G11"/>
    <mergeCell ref="T9:T10"/>
    <mergeCell ref="U9:U10"/>
    <mergeCell ref="B16:P16"/>
    <mergeCell ref="H9:H11"/>
    <mergeCell ref="I9:I11"/>
    <mergeCell ref="J9:J11"/>
    <mergeCell ref="K9:K10"/>
    <mergeCell ref="L9:L10"/>
    <mergeCell ref="M9:M10"/>
    <mergeCell ref="B9:B15"/>
    <mergeCell ref="C9:C15"/>
    <mergeCell ref="D9:D11"/>
    <mergeCell ref="E9:E11"/>
    <mergeCell ref="W7:X7"/>
    <mergeCell ref="Y7:Y8"/>
    <mergeCell ref="Z9:Z10"/>
    <mergeCell ref="B17:U17"/>
    <mergeCell ref="W6:Y6"/>
    <mergeCell ref="N9:N10"/>
    <mergeCell ref="O9:O10"/>
    <mergeCell ref="P9:P10"/>
    <mergeCell ref="Q9:Q10"/>
    <mergeCell ref="R9:R10"/>
    <mergeCell ref="S9:S10"/>
    <mergeCell ref="W9:W10"/>
    <mergeCell ref="X9:X10"/>
    <mergeCell ref="Y9:Y10"/>
    <mergeCell ref="V9:V10"/>
    <mergeCell ref="F9:F11"/>
  </mergeCells>
  <conditionalFormatting sqref="E9:H14">
    <cfRule type="expression" dxfId="35" priority="2" stopIfTrue="1">
      <formula>+IF((#REF!+#REF!+#REF!+#REF!+#REF!)&lt;&gt;$L9,1,0)</formula>
    </cfRule>
  </conditionalFormatting>
  <conditionalFormatting sqref="E15:H15">
    <cfRule type="expression" dxfId="34" priority="1" stopIfTrue="1">
      <formula>+IF((#REF!+#REF!+#REF!+#REF!+#REF!)&lt;&gt;$L15,1,0)</formula>
    </cfRule>
  </conditionalFormatting>
  <dataValidations count="3">
    <dataValidation type="list" allowBlank="1" showInputMessage="1" showErrorMessage="1" sqref="J9:J15">
      <formula1>$U$27:$U$35</formula1>
    </dataValidation>
    <dataValidation type="list" allowBlank="1" showInputMessage="1" showErrorMessage="1" sqref="K11:K15 K9">
      <formula1>$I$21:$I$25</formula1>
    </dataValidation>
    <dataValidation type="list" allowBlank="1" showInputMessage="1" showErrorMessage="1" sqref="P9 P11:P15">
      <formula1>$Q$27:$Q$52</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17"/>
  <sheetViews>
    <sheetView topLeftCell="A3" zoomScale="90" zoomScaleNormal="90" workbookViewId="0">
      <selection activeCell="Q17" sqref="Q17"/>
    </sheetView>
  </sheetViews>
  <sheetFormatPr baseColWidth="10" defaultRowHeight="15" x14ac:dyDescent="0.25"/>
  <cols>
    <col min="3" max="3" width="21.28515625" customWidth="1"/>
    <col min="4" max="4" width="15.85546875" customWidth="1"/>
    <col min="5" max="5" width="4.85546875" customWidth="1"/>
    <col min="6" max="6" width="5.5703125" customWidth="1"/>
    <col min="7" max="7" width="5.140625" customWidth="1"/>
    <col min="8" max="8" width="5.5703125" customWidth="1"/>
    <col min="9" max="9" width="9.28515625" customWidth="1"/>
    <col min="11" max="11" width="19.28515625" customWidth="1"/>
    <col min="12" max="12" width="5.140625" customWidth="1"/>
    <col min="13" max="13" width="20.140625" customWidth="1"/>
    <col min="14" max="14" width="17.5703125" customWidth="1"/>
    <col min="15" max="15" width="8.85546875" customWidth="1"/>
    <col min="16" max="16" width="20.42578125" customWidth="1"/>
    <col min="17" max="17" width="19.7109375" customWidth="1"/>
    <col min="18" max="18" width="19.28515625" customWidth="1"/>
    <col min="19" max="19" width="16.5703125" customWidth="1"/>
    <col min="20" max="20" width="20.85546875" customWidth="1"/>
    <col min="21" max="21" width="20" customWidth="1"/>
  </cols>
  <sheetData>
    <row r="2" spans="2:21" ht="15.75" x14ac:dyDescent="0.25">
      <c r="M2" s="581" t="s">
        <v>0</v>
      </c>
      <c r="N2" s="581"/>
      <c r="O2" s="581"/>
      <c r="P2" s="581"/>
      <c r="Q2" s="581"/>
      <c r="R2" s="581"/>
      <c r="S2" s="581"/>
      <c r="T2" s="581"/>
      <c r="U2" s="581"/>
    </row>
    <row r="3" spans="2:21" ht="18" x14ac:dyDescent="0.25">
      <c r="M3" s="582" t="s">
        <v>310</v>
      </c>
      <c r="N3" s="582"/>
      <c r="O3" s="582"/>
      <c r="P3" s="582"/>
      <c r="Q3" s="582"/>
      <c r="R3" s="582"/>
      <c r="S3" s="582"/>
      <c r="T3" s="582"/>
      <c r="U3" s="582"/>
    </row>
    <row r="5" spans="2:21" ht="16.5" x14ac:dyDescent="0.25">
      <c r="B5" s="521" t="s">
        <v>23</v>
      </c>
      <c r="C5" s="521"/>
      <c r="D5" s="521"/>
      <c r="E5" s="521"/>
      <c r="F5" s="521"/>
      <c r="G5" s="521"/>
      <c r="H5" s="521"/>
      <c r="I5" s="521"/>
      <c r="J5" s="521"/>
      <c r="K5" s="521"/>
      <c r="L5" s="521"/>
      <c r="M5" s="521"/>
      <c r="N5" s="521"/>
      <c r="O5" s="521"/>
      <c r="P5" s="521"/>
      <c r="Q5" s="521"/>
      <c r="R5" s="521"/>
      <c r="S5" s="521"/>
      <c r="T5" s="521"/>
      <c r="U5" s="521"/>
    </row>
    <row r="6" spans="2:21" ht="16.5" x14ac:dyDescent="0.25">
      <c r="B6" s="521" t="s">
        <v>154</v>
      </c>
      <c r="C6" s="521"/>
      <c r="D6" s="521"/>
      <c r="E6" s="521"/>
      <c r="F6" s="521"/>
      <c r="G6" s="521"/>
      <c r="H6" s="521"/>
      <c r="I6" s="521"/>
      <c r="J6" s="521"/>
      <c r="K6" s="521"/>
      <c r="L6" s="521"/>
      <c r="M6" s="521"/>
      <c r="N6" s="521"/>
      <c r="O6" s="521"/>
      <c r="P6" s="521"/>
      <c r="Q6" s="521"/>
      <c r="R6" s="521"/>
      <c r="S6" s="521"/>
      <c r="T6" s="521"/>
      <c r="U6" s="521"/>
    </row>
    <row r="7" spans="2:21" ht="16.5" x14ac:dyDescent="0.25">
      <c r="B7" s="521" t="s">
        <v>155</v>
      </c>
      <c r="C7" s="521"/>
      <c r="D7" s="521"/>
      <c r="E7" s="521"/>
      <c r="F7" s="521"/>
      <c r="G7" s="521"/>
      <c r="H7" s="521"/>
      <c r="I7" s="521"/>
      <c r="J7" s="521"/>
      <c r="K7" s="521"/>
      <c r="L7" s="521"/>
      <c r="M7" s="521"/>
      <c r="N7" s="521"/>
      <c r="O7" s="521"/>
      <c r="P7" s="521"/>
      <c r="Q7" s="521"/>
      <c r="R7" s="521"/>
      <c r="S7" s="521"/>
      <c r="T7" s="521"/>
      <c r="U7" s="521"/>
    </row>
    <row r="8" spans="2:21" x14ac:dyDescent="0.25">
      <c r="B8" s="515" t="s">
        <v>3</v>
      </c>
      <c r="C8" s="515"/>
      <c r="D8" s="515"/>
      <c r="E8" s="515"/>
      <c r="F8" s="515"/>
      <c r="G8" s="515"/>
      <c r="H8" s="515"/>
      <c r="I8" s="515"/>
      <c r="J8" s="515"/>
      <c r="K8" s="84"/>
      <c r="L8" s="515" t="s">
        <v>72</v>
      </c>
      <c r="M8" s="515"/>
      <c r="N8" s="515"/>
      <c r="O8" s="515"/>
      <c r="P8" s="515"/>
      <c r="Q8" s="509" t="s">
        <v>4</v>
      </c>
      <c r="R8" s="509"/>
      <c r="S8" s="509"/>
      <c r="T8" s="509"/>
      <c r="U8" s="520" t="s">
        <v>40</v>
      </c>
    </row>
    <row r="9" spans="2:21" ht="48" customHeight="1" x14ac:dyDescent="0.25">
      <c r="B9" s="85" t="s">
        <v>51</v>
      </c>
      <c r="C9" s="85" t="s">
        <v>12</v>
      </c>
      <c r="D9" s="85" t="s">
        <v>52</v>
      </c>
      <c r="E9" s="85" t="s">
        <v>24</v>
      </c>
      <c r="F9" s="85" t="s">
        <v>25</v>
      </c>
      <c r="G9" s="85" t="s">
        <v>26</v>
      </c>
      <c r="H9" s="85" t="s">
        <v>27</v>
      </c>
      <c r="I9" s="85" t="s">
        <v>28</v>
      </c>
      <c r="J9" s="85" t="s">
        <v>29</v>
      </c>
      <c r="K9" s="85" t="s">
        <v>47</v>
      </c>
      <c r="L9" s="86" t="s">
        <v>14</v>
      </c>
      <c r="M9" s="86" t="s">
        <v>79</v>
      </c>
      <c r="N9" s="86" t="s">
        <v>15</v>
      </c>
      <c r="O9" s="86" t="s">
        <v>16</v>
      </c>
      <c r="P9" s="85" t="s">
        <v>48</v>
      </c>
      <c r="Q9" s="86" t="s">
        <v>17</v>
      </c>
      <c r="R9" s="86" t="s">
        <v>18</v>
      </c>
      <c r="S9" s="86" t="s">
        <v>19</v>
      </c>
      <c r="T9" s="198" t="s">
        <v>361</v>
      </c>
      <c r="U9" s="520"/>
    </row>
    <row r="10" spans="2:21" ht="67.5" customHeight="1" x14ac:dyDescent="0.25">
      <c r="B10" s="517" t="s">
        <v>292</v>
      </c>
      <c r="C10" s="59" t="s">
        <v>293</v>
      </c>
      <c r="D10" s="59" t="s">
        <v>294</v>
      </c>
      <c r="E10" s="69">
        <v>0.3</v>
      </c>
      <c r="F10" s="69">
        <v>0.2</v>
      </c>
      <c r="G10" s="69">
        <v>0.3</v>
      </c>
      <c r="H10" s="69">
        <v>0.2</v>
      </c>
      <c r="I10" s="70">
        <f>SUM(E10:H10)</f>
        <v>1</v>
      </c>
      <c r="J10" s="59" t="s">
        <v>302</v>
      </c>
      <c r="K10" s="59" t="s">
        <v>118</v>
      </c>
      <c r="L10" s="306">
        <v>1</v>
      </c>
      <c r="M10" s="55" t="s">
        <v>303</v>
      </c>
      <c r="N10" s="59" t="s">
        <v>376</v>
      </c>
      <c r="O10" s="70">
        <v>0.2</v>
      </c>
      <c r="P10" s="59" t="s">
        <v>309</v>
      </c>
      <c r="Q10" s="143">
        <f>SUM(R10:T10)</f>
        <v>1570080000</v>
      </c>
      <c r="R10" s="83">
        <f>1570080000-172080000</f>
        <v>1398000000</v>
      </c>
      <c r="S10" s="83">
        <v>0</v>
      </c>
      <c r="T10" s="83">
        <v>172080000</v>
      </c>
      <c r="U10" s="83">
        <v>0</v>
      </c>
    </row>
    <row r="11" spans="2:21" ht="62.25" customHeight="1" x14ac:dyDescent="0.25">
      <c r="B11" s="517"/>
      <c r="C11" s="59" t="s">
        <v>295</v>
      </c>
      <c r="D11" s="59" t="s">
        <v>294</v>
      </c>
      <c r="E11" s="69">
        <v>0.25</v>
      </c>
      <c r="F11" s="69">
        <v>0.25</v>
      </c>
      <c r="G11" s="69">
        <v>0.25</v>
      </c>
      <c r="H11" s="69">
        <v>0.25</v>
      </c>
      <c r="I11" s="70">
        <f>SUM(E11:H11)</f>
        <v>1</v>
      </c>
      <c r="J11" s="59" t="s">
        <v>302</v>
      </c>
      <c r="K11" s="59" t="s">
        <v>168</v>
      </c>
      <c r="L11" s="58">
        <v>2</v>
      </c>
      <c r="M11" s="55" t="s">
        <v>304</v>
      </c>
      <c r="N11" s="59" t="s">
        <v>376</v>
      </c>
      <c r="O11" s="70">
        <v>0.25</v>
      </c>
      <c r="P11" s="59" t="s">
        <v>309</v>
      </c>
      <c r="Q11" s="143">
        <f>SUM(R11:T11)</f>
        <v>0</v>
      </c>
      <c r="R11" s="83">
        <v>0</v>
      </c>
      <c r="S11" s="83">
        <v>0</v>
      </c>
      <c r="T11" s="83">
        <v>0</v>
      </c>
      <c r="U11" s="83">
        <v>42230000</v>
      </c>
    </row>
    <row r="12" spans="2:21" ht="87" customHeight="1" x14ac:dyDescent="0.25">
      <c r="B12" s="517"/>
      <c r="C12" s="59" t="s">
        <v>296</v>
      </c>
      <c r="D12" s="59" t="s">
        <v>297</v>
      </c>
      <c r="E12" s="69">
        <v>0.99</v>
      </c>
      <c r="F12" s="69">
        <v>0.99</v>
      </c>
      <c r="G12" s="69">
        <v>0.99</v>
      </c>
      <c r="H12" s="69">
        <v>0.99</v>
      </c>
      <c r="I12" s="70">
        <v>0.99</v>
      </c>
      <c r="J12" s="59" t="s">
        <v>302</v>
      </c>
      <c r="K12" s="59" t="s">
        <v>30</v>
      </c>
      <c r="L12" s="306">
        <v>3</v>
      </c>
      <c r="M12" s="55" t="s">
        <v>305</v>
      </c>
      <c r="N12" s="59" t="s">
        <v>297</v>
      </c>
      <c r="O12" s="70">
        <v>0.99</v>
      </c>
      <c r="P12" s="59" t="s">
        <v>309</v>
      </c>
      <c r="Q12" s="143">
        <f>SUM(R12:T12)</f>
        <v>2234585570</v>
      </c>
      <c r="R12" s="83">
        <f>2449920000-121334430-1377920000-94000000</f>
        <v>856665570</v>
      </c>
      <c r="S12" s="83">
        <v>0</v>
      </c>
      <c r="T12" s="83">
        <v>1377920000</v>
      </c>
      <c r="U12" s="83">
        <f>3774612868-2266887.65</f>
        <v>3772345980.3499999</v>
      </c>
    </row>
    <row r="13" spans="2:21" ht="57" customHeight="1" x14ac:dyDescent="0.25">
      <c r="B13" s="517"/>
      <c r="C13" s="59" t="s">
        <v>298</v>
      </c>
      <c r="D13" s="59" t="s">
        <v>299</v>
      </c>
      <c r="E13" s="69">
        <v>0.4</v>
      </c>
      <c r="F13" s="69">
        <v>0.2</v>
      </c>
      <c r="G13" s="69">
        <v>0.2</v>
      </c>
      <c r="H13" s="69">
        <v>0.2</v>
      </c>
      <c r="I13" s="70">
        <f>SUM(E13:H13)</f>
        <v>1</v>
      </c>
      <c r="J13" s="59" t="s">
        <v>302</v>
      </c>
      <c r="K13" s="59" t="s">
        <v>118</v>
      </c>
      <c r="L13" s="58">
        <v>4</v>
      </c>
      <c r="M13" s="55" t="s">
        <v>306</v>
      </c>
      <c r="N13" s="59" t="s">
        <v>299</v>
      </c>
      <c r="O13" s="70">
        <v>0.2</v>
      </c>
      <c r="P13" s="59" t="s">
        <v>309</v>
      </c>
      <c r="Q13" s="143">
        <f>SUM(R13:T13)</f>
        <v>0</v>
      </c>
      <c r="R13" s="83">
        <v>0</v>
      </c>
      <c r="S13" s="83">
        <v>0</v>
      </c>
      <c r="T13" s="83">
        <v>0</v>
      </c>
      <c r="U13" s="83">
        <v>31000000</v>
      </c>
    </row>
    <row r="14" spans="2:21" ht="75" customHeight="1" x14ac:dyDescent="0.25">
      <c r="B14" s="517"/>
      <c r="C14" s="59" t="s">
        <v>300</v>
      </c>
      <c r="D14" s="59" t="s">
        <v>301</v>
      </c>
      <c r="E14" s="69">
        <v>0.25</v>
      </c>
      <c r="F14" s="69">
        <v>0.25</v>
      </c>
      <c r="G14" s="69">
        <v>0.3</v>
      </c>
      <c r="H14" s="69">
        <v>0.2</v>
      </c>
      <c r="I14" s="70">
        <f>SUM(E14:H14)</f>
        <v>1</v>
      </c>
      <c r="J14" s="59" t="s">
        <v>302</v>
      </c>
      <c r="K14" s="59" t="s">
        <v>168</v>
      </c>
      <c r="L14" s="58">
        <v>5</v>
      </c>
      <c r="M14" s="55" t="s">
        <v>307</v>
      </c>
      <c r="N14" s="59" t="s">
        <v>308</v>
      </c>
      <c r="O14" s="70">
        <v>0.25</v>
      </c>
      <c r="P14" s="59" t="s">
        <v>309</v>
      </c>
      <c r="Q14" s="143">
        <f>SUM(R14:T14)</f>
        <v>274000000</v>
      </c>
      <c r="R14" s="83">
        <f>180000000+94000000</f>
        <v>274000000</v>
      </c>
      <c r="S14" s="83">
        <v>0</v>
      </c>
      <c r="T14" s="83">
        <v>0</v>
      </c>
      <c r="U14" s="83">
        <v>0</v>
      </c>
    </row>
    <row r="15" spans="2:21" ht="15.75" x14ac:dyDescent="0.25">
      <c r="B15" s="632" t="s">
        <v>53</v>
      </c>
      <c r="C15" s="632"/>
      <c r="D15" s="632"/>
      <c r="E15" s="632"/>
      <c r="F15" s="632"/>
      <c r="G15" s="632"/>
      <c r="H15" s="632"/>
      <c r="I15" s="632"/>
      <c r="J15" s="632"/>
      <c r="K15" s="632"/>
      <c r="L15" s="632"/>
      <c r="M15" s="632"/>
      <c r="N15" s="632"/>
      <c r="O15" s="632"/>
      <c r="P15" s="632"/>
      <c r="Q15" s="152">
        <f>SUM(Q10:Q14)</f>
        <v>4078665570</v>
      </c>
      <c r="R15" s="152">
        <f>SUM(R10:R14)</f>
        <v>2528665570</v>
      </c>
      <c r="S15" s="152">
        <f>SUM(S10:S14)</f>
        <v>0</v>
      </c>
      <c r="T15" s="152">
        <f>SUM(T10:T14)</f>
        <v>1550000000</v>
      </c>
      <c r="U15" s="152">
        <f>SUM(U10:U14)</f>
        <v>3845575980.3499999</v>
      </c>
    </row>
    <row r="17" spans="16:20" ht="90" x14ac:dyDescent="0.25">
      <c r="P17" s="316"/>
      <c r="Q17" s="315" t="s">
        <v>400</v>
      </c>
      <c r="R17" s="315" t="s">
        <v>401</v>
      </c>
      <c r="T17" s="315" t="s">
        <v>402</v>
      </c>
    </row>
  </sheetData>
  <mergeCells count="11">
    <mergeCell ref="U8:U9"/>
    <mergeCell ref="B10:B14"/>
    <mergeCell ref="B15:P15"/>
    <mergeCell ref="M3:U3"/>
    <mergeCell ref="M2:U2"/>
    <mergeCell ref="B5:U5"/>
    <mergeCell ref="B6:U6"/>
    <mergeCell ref="B7:U7"/>
    <mergeCell ref="B8:J8"/>
    <mergeCell ref="L8:P8"/>
    <mergeCell ref="Q8:T8"/>
  </mergeCells>
  <conditionalFormatting sqref="E10:H14">
    <cfRule type="expression" dxfId="33" priority="1" stopIfTrue="1">
      <formula>+IF((#REF!+#REF!+#REF!+#REF!+#REF!)&lt;&gt;$L10,1,0)</formula>
    </cfRule>
  </conditionalFormatting>
  <dataValidations count="3">
    <dataValidation type="list" allowBlank="1" showInputMessage="1" showErrorMessage="1" sqref="J10:J14">
      <formula1>$U$25:$U$33</formula1>
    </dataValidation>
    <dataValidation type="list" allowBlank="1" showInputMessage="1" showErrorMessage="1" sqref="K10:K14">
      <formula1>$I$19:$I$23</formula1>
    </dataValidation>
    <dataValidation type="list" allowBlank="1" showInputMessage="1" showErrorMessage="1" sqref="P10:P14">
      <formula1>$Q$25:$Q$50</formula1>
    </dataValidation>
  </dataValidations>
  <pageMargins left="0.7" right="0.7" top="0.75" bottom="0.75" header="0.3" footer="0.3"/>
  <ignoredErrors>
    <ignoredError sqref="Q10:Q14" formulaRange="1" unlockedFormula="1"/>
    <ignoredError sqref="R10 R12 R14 U12" unlockedFormula="1"/>
  </ignoredErrors>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Z18"/>
  <sheetViews>
    <sheetView topLeftCell="U3" zoomScale="80" zoomScaleNormal="80" workbookViewId="0">
      <selection activeCell="Y8" sqref="Y8:Y9"/>
    </sheetView>
  </sheetViews>
  <sheetFormatPr baseColWidth="10" defaultRowHeight="15" x14ac:dyDescent="0.25"/>
  <cols>
    <col min="3" max="3" width="21.28515625" customWidth="1"/>
    <col min="4" max="4" width="15.85546875" customWidth="1"/>
    <col min="5" max="5" width="4.85546875" customWidth="1"/>
    <col min="6" max="6" width="5.5703125" customWidth="1"/>
    <col min="7" max="7" width="5.140625" customWidth="1"/>
    <col min="8" max="8" width="5.5703125" customWidth="1"/>
    <col min="9" max="9" width="9.28515625" customWidth="1"/>
    <col min="11" max="11" width="19.28515625" customWidth="1"/>
    <col min="12" max="12" width="5.140625" customWidth="1"/>
    <col min="13" max="13" width="20.140625" customWidth="1"/>
    <col min="14" max="14" width="17.5703125" customWidth="1"/>
    <col min="15" max="15" width="8.85546875" customWidth="1"/>
    <col min="16" max="16" width="20.42578125" customWidth="1"/>
    <col min="17" max="17" width="21.85546875" customWidth="1"/>
    <col min="18" max="18" width="20.7109375" customWidth="1"/>
    <col min="19" max="19" width="16.5703125" customWidth="1"/>
    <col min="20" max="20" width="20.85546875" customWidth="1"/>
    <col min="21" max="21" width="22.7109375" customWidth="1"/>
    <col min="22" max="22" width="56.5703125" customWidth="1"/>
    <col min="23" max="23" width="54.85546875" customWidth="1"/>
    <col min="24" max="24" width="55.42578125" customWidth="1"/>
    <col min="25" max="25" width="98.7109375" customWidth="1"/>
    <col min="26" max="26" width="37.7109375" customWidth="1"/>
  </cols>
  <sheetData>
    <row r="2" spans="2:26" ht="15.75" x14ac:dyDescent="0.25">
      <c r="M2" s="581" t="s">
        <v>0</v>
      </c>
      <c r="N2" s="581"/>
      <c r="O2" s="581"/>
      <c r="P2" s="581"/>
      <c r="Q2" s="581"/>
      <c r="R2" s="581"/>
      <c r="S2" s="581"/>
      <c r="T2" s="581"/>
      <c r="U2" s="581"/>
    </row>
    <row r="3" spans="2:26" ht="18" x14ac:dyDescent="0.25">
      <c r="M3" s="582" t="s">
        <v>310</v>
      </c>
      <c r="N3" s="582"/>
      <c r="O3" s="582"/>
      <c r="P3" s="582"/>
      <c r="Q3" s="582"/>
      <c r="R3" s="582"/>
      <c r="S3" s="582"/>
      <c r="T3" s="582"/>
      <c r="U3" s="582"/>
    </row>
    <row r="5" spans="2:26" ht="16.5" x14ac:dyDescent="0.25">
      <c r="B5" s="752" t="s">
        <v>23</v>
      </c>
      <c r="C5" s="752"/>
      <c r="D5" s="752"/>
      <c r="E5" s="752"/>
      <c r="F5" s="752"/>
      <c r="G5" s="752"/>
      <c r="H5" s="752"/>
      <c r="I5" s="752"/>
      <c r="J5" s="752"/>
      <c r="K5" s="752"/>
      <c r="L5" s="752"/>
      <c r="M5" s="752"/>
      <c r="N5" s="752"/>
      <c r="O5" s="752"/>
      <c r="P5" s="752"/>
      <c r="Q5" s="752"/>
      <c r="R5" s="752"/>
      <c r="S5" s="752"/>
      <c r="T5" s="752"/>
      <c r="U5" s="752"/>
    </row>
    <row r="6" spans="2:26" ht="16.5" x14ac:dyDescent="0.25">
      <c r="B6" s="521" t="s">
        <v>154</v>
      </c>
      <c r="C6" s="521"/>
      <c r="D6" s="521"/>
      <c r="E6" s="521"/>
      <c r="F6" s="521"/>
      <c r="G6" s="521"/>
      <c r="H6" s="521"/>
      <c r="I6" s="521"/>
      <c r="J6" s="521"/>
      <c r="K6" s="521"/>
      <c r="L6" s="521"/>
      <c r="M6" s="521"/>
      <c r="N6" s="521"/>
      <c r="O6" s="521"/>
      <c r="P6" s="521"/>
      <c r="Q6" s="521"/>
      <c r="R6" s="521"/>
      <c r="S6" s="521"/>
      <c r="T6" s="521"/>
      <c r="U6" s="521"/>
    </row>
    <row r="7" spans="2:26" ht="16.5" x14ac:dyDescent="0.25">
      <c r="B7" s="521" t="s">
        <v>155</v>
      </c>
      <c r="C7" s="521"/>
      <c r="D7" s="521"/>
      <c r="E7" s="521"/>
      <c r="F7" s="521"/>
      <c r="G7" s="521"/>
      <c r="H7" s="521"/>
      <c r="I7" s="521"/>
      <c r="J7" s="521"/>
      <c r="K7" s="521"/>
      <c r="L7" s="521"/>
      <c r="M7" s="521"/>
      <c r="N7" s="521"/>
      <c r="O7" s="521"/>
      <c r="P7" s="521"/>
      <c r="Q7" s="521"/>
      <c r="R7" s="521"/>
      <c r="S7" s="521"/>
      <c r="T7" s="521"/>
      <c r="U7" s="521"/>
      <c r="W7" s="705" t="s">
        <v>413</v>
      </c>
      <c r="X7" s="705"/>
      <c r="Y7" s="705"/>
    </row>
    <row r="8" spans="2:26" ht="15.75" x14ac:dyDescent="0.25">
      <c r="B8" s="515" t="s">
        <v>3</v>
      </c>
      <c r="C8" s="515"/>
      <c r="D8" s="515"/>
      <c r="E8" s="515"/>
      <c r="F8" s="515"/>
      <c r="G8" s="515"/>
      <c r="H8" s="515"/>
      <c r="I8" s="515"/>
      <c r="J8" s="515"/>
      <c r="K8" s="275"/>
      <c r="L8" s="515" t="s">
        <v>72</v>
      </c>
      <c r="M8" s="515"/>
      <c r="N8" s="515"/>
      <c r="O8" s="515"/>
      <c r="P8" s="515"/>
      <c r="Q8" s="509" t="s">
        <v>4</v>
      </c>
      <c r="R8" s="509"/>
      <c r="S8" s="509"/>
      <c r="T8" s="509"/>
      <c r="U8" s="520" t="s">
        <v>40</v>
      </c>
      <c r="W8" s="553" t="s">
        <v>410</v>
      </c>
      <c r="X8" s="554"/>
      <c r="Y8" s="754" t="s">
        <v>445</v>
      </c>
    </row>
    <row r="9" spans="2:26" ht="48" customHeight="1" x14ac:dyDescent="0.25">
      <c r="B9" s="273" t="s">
        <v>51</v>
      </c>
      <c r="C9" s="273" t="s">
        <v>12</v>
      </c>
      <c r="D9" s="273" t="s">
        <v>52</v>
      </c>
      <c r="E9" s="273" t="s">
        <v>24</v>
      </c>
      <c r="F9" s="273" t="s">
        <v>25</v>
      </c>
      <c r="G9" s="273" t="s">
        <v>26</v>
      </c>
      <c r="H9" s="273" t="s">
        <v>27</v>
      </c>
      <c r="I9" s="273" t="s">
        <v>28</v>
      </c>
      <c r="J9" s="273" t="s">
        <v>29</v>
      </c>
      <c r="K9" s="273" t="s">
        <v>47</v>
      </c>
      <c r="L9" s="279" t="s">
        <v>14</v>
      </c>
      <c r="M9" s="279" t="s">
        <v>79</v>
      </c>
      <c r="N9" s="279" t="s">
        <v>15</v>
      </c>
      <c r="O9" s="279" t="s">
        <v>16</v>
      </c>
      <c r="P9" s="273" t="s">
        <v>48</v>
      </c>
      <c r="Q9" s="279" t="s">
        <v>17</v>
      </c>
      <c r="R9" s="279" t="s">
        <v>18</v>
      </c>
      <c r="S9" s="279" t="s">
        <v>19</v>
      </c>
      <c r="T9" s="279" t="s">
        <v>361</v>
      </c>
      <c r="U9" s="520"/>
      <c r="V9" s="356" t="s">
        <v>426</v>
      </c>
      <c r="W9" s="292" t="s">
        <v>408</v>
      </c>
      <c r="X9" s="292" t="s">
        <v>409</v>
      </c>
      <c r="Y9" s="755"/>
    </row>
    <row r="10" spans="2:26" ht="356.25" customHeight="1" x14ac:dyDescent="0.25">
      <c r="B10" s="517" t="s">
        <v>292</v>
      </c>
      <c r="C10" s="269" t="s">
        <v>293</v>
      </c>
      <c r="D10" s="269" t="s">
        <v>294</v>
      </c>
      <c r="E10" s="69">
        <v>0.3</v>
      </c>
      <c r="F10" s="69">
        <v>0.2</v>
      </c>
      <c r="G10" s="69">
        <v>0.3</v>
      </c>
      <c r="H10" s="69">
        <v>0.2</v>
      </c>
      <c r="I10" s="70">
        <f>SUM(E10:H10)</f>
        <v>1</v>
      </c>
      <c r="J10" s="269" t="s">
        <v>302</v>
      </c>
      <c r="K10" s="269" t="s">
        <v>118</v>
      </c>
      <c r="L10" s="307">
        <v>1</v>
      </c>
      <c r="M10" s="285" t="s">
        <v>303</v>
      </c>
      <c r="N10" s="269" t="s">
        <v>376</v>
      </c>
      <c r="O10" s="70">
        <v>0.2</v>
      </c>
      <c r="P10" s="269" t="s">
        <v>309</v>
      </c>
      <c r="Q10" s="276">
        <f>SUM(R10:T10)</f>
        <v>1570080000</v>
      </c>
      <c r="R10" s="286">
        <f>1570080000-172080000</f>
        <v>1398000000</v>
      </c>
      <c r="S10" s="286">
        <v>0</v>
      </c>
      <c r="T10" s="286">
        <v>172080000</v>
      </c>
      <c r="U10" s="286">
        <v>0</v>
      </c>
      <c r="V10" s="362" t="s">
        <v>439</v>
      </c>
      <c r="W10" s="365" t="s">
        <v>446</v>
      </c>
      <c r="X10" s="364" t="s">
        <v>582</v>
      </c>
      <c r="Y10" s="364" t="s">
        <v>531</v>
      </c>
      <c r="Z10" s="376" t="s">
        <v>583</v>
      </c>
    </row>
    <row r="11" spans="2:26" ht="119.25" customHeight="1" x14ac:dyDescent="0.25">
      <c r="B11" s="517"/>
      <c r="C11" s="269" t="s">
        <v>295</v>
      </c>
      <c r="D11" s="269" t="s">
        <v>294</v>
      </c>
      <c r="E11" s="69">
        <v>0.25</v>
      </c>
      <c r="F11" s="69">
        <v>0.25</v>
      </c>
      <c r="G11" s="69">
        <v>0.25</v>
      </c>
      <c r="H11" s="69">
        <v>0.25</v>
      </c>
      <c r="I11" s="70">
        <f>SUM(E11:H11)</f>
        <v>1</v>
      </c>
      <c r="J11" s="269" t="s">
        <v>302</v>
      </c>
      <c r="K11" s="269" t="s">
        <v>168</v>
      </c>
      <c r="L11" s="272">
        <v>2</v>
      </c>
      <c r="M11" s="285" t="s">
        <v>304</v>
      </c>
      <c r="N11" s="269" t="s">
        <v>376</v>
      </c>
      <c r="O11" s="70">
        <v>0.25</v>
      </c>
      <c r="P11" s="269" t="s">
        <v>309</v>
      </c>
      <c r="Q11" s="276">
        <f>SUM(R11:T11)</f>
        <v>0</v>
      </c>
      <c r="R11" s="286">
        <v>0</v>
      </c>
      <c r="S11" s="286">
        <v>0</v>
      </c>
      <c r="T11" s="286">
        <v>0</v>
      </c>
      <c r="U11" s="286">
        <v>42230000</v>
      </c>
      <c r="V11" s="366" t="s">
        <v>440</v>
      </c>
      <c r="W11" s="365" t="s">
        <v>437</v>
      </c>
      <c r="X11" s="364" t="s">
        <v>598</v>
      </c>
      <c r="Y11" s="364" t="s">
        <v>581</v>
      </c>
      <c r="Z11" s="376" t="s">
        <v>599</v>
      </c>
    </row>
    <row r="12" spans="2:26" ht="246.75" customHeight="1" x14ac:dyDescent="0.25">
      <c r="B12" s="517"/>
      <c r="C12" s="269" t="s">
        <v>296</v>
      </c>
      <c r="D12" s="269" t="s">
        <v>297</v>
      </c>
      <c r="E12" s="69">
        <v>0.99</v>
      </c>
      <c r="F12" s="69">
        <v>0.99</v>
      </c>
      <c r="G12" s="69">
        <v>0.99</v>
      </c>
      <c r="H12" s="69">
        <v>0.99</v>
      </c>
      <c r="I12" s="70">
        <v>0.99</v>
      </c>
      <c r="J12" s="269" t="s">
        <v>302</v>
      </c>
      <c r="K12" s="269" t="s">
        <v>30</v>
      </c>
      <c r="L12" s="307">
        <v>3</v>
      </c>
      <c r="M12" s="285" t="s">
        <v>305</v>
      </c>
      <c r="N12" s="269" t="s">
        <v>297</v>
      </c>
      <c r="O12" s="70">
        <v>0.99</v>
      </c>
      <c r="P12" s="269" t="s">
        <v>309</v>
      </c>
      <c r="Q12" s="276">
        <f>SUM(R12:T12)</f>
        <v>2234585570</v>
      </c>
      <c r="R12" s="286">
        <f>2449920000-121334430-1377920000-94000000</f>
        <v>856665570</v>
      </c>
      <c r="S12" s="286">
        <v>0</v>
      </c>
      <c r="T12" s="286">
        <v>1377920000</v>
      </c>
      <c r="U12" s="286">
        <f>3774612868-2266887.65</f>
        <v>3772345980.3499999</v>
      </c>
      <c r="V12" s="366" t="s">
        <v>438</v>
      </c>
      <c r="W12" s="365" t="s">
        <v>441</v>
      </c>
      <c r="X12" s="364" t="s">
        <v>579</v>
      </c>
      <c r="Y12" s="365" t="s">
        <v>449</v>
      </c>
      <c r="Z12" s="376" t="s">
        <v>580</v>
      </c>
    </row>
    <row r="13" spans="2:26" ht="112.5" customHeight="1" x14ac:dyDescent="0.25">
      <c r="B13" s="517"/>
      <c r="C13" s="269" t="s">
        <v>298</v>
      </c>
      <c r="D13" s="269" t="s">
        <v>299</v>
      </c>
      <c r="E13" s="69">
        <v>0.4</v>
      </c>
      <c r="F13" s="69">
        <v>0.2</v>
      </c>
      <c r="G13" s="69">
        <v>0.2</v>
      </c>
      <c r="H13" s="69">
        <v>0.2</v>
      </c>
      <c r="I13" s="70">
        <f>SUM(E13:H13)</f>
        <v>1</v>
      </c>
      <c r="J13" s="269" t="s">
        <v>302</v>
      </c>
      <c r="K13" s="269" t="s">
        <v>118</v>
      </c>
      <c r="L13" s="272">
        <v>4</v>
      </c>
      <c r="M13" s="285" t="s">
        <v>306</v>
      </c>
      <c r="N13" s="269" t="s">
        <v>299</v>
      </c>
      <c r="O13" s="70">
        <v>0.2</v>
      </c>
      <c r="P13" s="269" t="s">
        <v>309</v>
      </c>
      <c r="Q13" s="276">
        <f>SUM(R13:T13)</f>
        <v>0</v>
      </c>
      <c r="R13" s="286">
        <v>0</v>
      </c>
      <c r="S13" s="286">
        <v>0</v>
      </c>
      <c r="T13" s="286">
        <v>0</v>
      </c>
      <c r="U13" s="286">
        <v>31000000</v>
      </c>
      <c r="V13" s="366" t="s">
        <v>443</v>
      </c>
      <c r="W13" s="365" t="s">
        <v>444</v>
      </c>
      <c r="X13" s="365" t="s">
        <v>600</v>
      </c>
      <c r="Y13" s="365" t="s">
        <v>584</v>
      </c>
      <c r="Z13" s="376" t="s">
        <v>601</v>
      </c>
    </row>
    <row r="14" spans="2:26" ht="130.5" customHeight="1" x14ac:dyDescent="0.25">
      <c r="B14" s="517"/>
      <c r="C14" s="269" t="s">
        <v>300</v>
      </c>
      <c r="D14" s="269" t="s">
        <v>301</v>
      </c>
      <c r="E14" s="69">
        <v>0.25</v>
      </c>
      <c r="F14" s="69">
        <v>0.25</v>
      </c>
      <c r="G14" s="69">
        <v>0.3</v>
      </c>
      <c r="H14" s="69">
        <v>0.2</v>
      </c>
      <c r="I14" s="70">
        <f>SUM(E14:H14)</f>
        <v>1</v>
      </c>
      <c r="J14" s="269" t="s">
        <v>302</v>
      </c>
      <c r="K14" s="269" t="s">
        <v>168</v>
      </c>
      <c r="L14" s="272">
        <v>5</v>
      </c>
      <c r="M14" s="285" t="s">
        <v>307</v>
      </c>
      <c r="N14" s="269" t="s">
        <v>308</v>
      </c>
      <c r="O14" s="70">
        <v>0.25</v>
      </c>
      <c r="P14" s="269" t="s">
        <v>309</v>
      </c>
      <c r="Q14" s="276">
        <f>SUM(R14:T14)</f>
        <v>274000000</v>
      </c>
      <c r="R14" s="286">
        <f>180000000+94000000</f>
        <v>274000000</v>
      </c>
      <c r="S14" s="286">
        <v>0</v>
      </c>
      <c r="T14" s="286">
        <v>0</v>
      </c>
      <c r="U14" s="286">
        <v>0</v>
      </c>
      <c r="V14" s="366" t="s">
        <v>442</v>
      </c>
      <c r="W14" s="365" t="s">
        <v>585</v>
      </c>
      <c r="X14" s="365" t="s">
        <v>447</v>
      </c>
      <c r="Y14" s="365" t="s">
        <v>448</v>
      </c>
      <c r="Z14" s="376" t="s">
        <v>586</v>
      </c>
    </row>
    <row r="15" spans="2:26" ht="15.75" x14ac:dyDescent="0.25">
      <c r="B15" s="632" t="s">
        <v>53</v>
      </c>
      <c r="C15" s="632"/>
      <c r="D15" s="632"/>
      <c r="E15" s="632"/>
      <c r="F15" s="632"/>
      <c r="G15" s="632"/>
      <c r="H15" s="632"/>
      <c r="I15" s="632"/>
      <c r="J15" s="632"/>
      <c r="K15" s="632"/>
      <c r="L15" s="632"/>
      <c r="M15" s="632"/>
      <c r="N15" s="632"/>
      <c r="O15" s="632"/>
      <c r="P15" s="632"/>
      <c r="Q15" s="152">
        <f>SUM(Q10:Q14)</f>
        <v>4078665570</v>
      </c>
      <c r="R15" s="152">
        <f>SUM(R10:R14)</f>
        <v>2528665570</v>
      </c>
      <c r="S15" s="152">
        <f>SUM(S10:S14)</f>
        <v>0</v>
      </c>
      <c r="T15" s="152">
        <f>SUM(T10:T14)</f>
        <v>1550000000</v>
      </c>
      <c r="U15" s="152">
        <f>SUM(U10:U14)</f>
        <v>3845575980.3499999</v>
      </c>
    </row>
    <row r="16" spans="2:26" ht="72.75" customHeight="1" x14ac:dyDescent="0.25">
      <c r="B16" s="753" t="s">
        <v>532</v>
      </c>
      <c r="C16" s="753"/>
      <c r="D16" s="753"/>
      <c r="E16" s="753"/>
      <c r="F16" s="753"/>
      <c r="G16" s="753"/>
      <c r="H16" s="753"/>
      <c r="I16" s="753"/>
      <c r="J16" s="753"/>
      <c r="K16" s="753"/>
      <c r="L16" s="753"/>
      <c r="M16" s="753"/>
      <c r="N16" s="753"/>
      <c r="O16" s="753"/>
      <c r="P16" s="753"/>
      <c r="Q16" s="753"/>
      <c r="R16" s="753"/>
      <c r="S16" s="753"/>
      <c r="T16" s="753"/>
      <c r="U16" s="753"/>
      <c r="V16" s="753"/>
      <c r="W16" s="753"/>
      <c r="X16" s="753"/>
      <c r="Y16" s="753"/>
    </row>
    <row r="17" spans="16:25" ht="75" x14ac:dyDescent="0.25">
      <c r="P17" s="316"/>
      <c r="Q17" s="315" t="s">
        <v>400</v>
      </c>
      <c r="R17" s="315" t="s">
        <v>401</v>
      </c>
      <c r="T17" s="315" t="s">
        <v>402</v>
      </c>
    </row>
    <row r="18" spans="16:25" x14ac:dyDescent="0.25">
      <c r="Y18" s="369"/>
    </row>
  </sheetData>
  <mergeCells count="15">
    <mergeCell ref="B16:Y16"/>
    <mergeCell ref="W7:Y7"/>
    <mergeCell ref="B10:B14"/>
    <mergeCell ref="B15:P15"/>
    <mergeCell ref="B8:J8"/>
    <mergeCell ref="L8:P8"/>
    <mergeCell ref="Q8:T8"/>
    <mergeCell ref="U8:U9"/>
    <mergeCell ref="W8:X8"/>
    <mergeCell ref="Y8:Y9"/>
    <mergeCell ref="M2:U2"/>
    <mergeCell ref="M3:U3"/>
    <mergeCell ref="B5:U5"/>
    <mergeCell ref="B6:U6"/>
    <mergeCell ref="B7:U7"/>
  </mergeCells>
  <conditionalFormatting sqref="E10:H14">
    <cfRule type="expression" dxfId="32" priority="1" stopIfTrue="1">
      <formula>+IF((#REF!+#REF!+#REF!+#REF!+#REF!)&lt;&gt;$L10,1,0)</formula>
    </cfRule>
  </conditionalFormatting>
  <dataValidations count="3">
    <dataValidation type="list" allowBlank="1" showInputMessage="1" showErrorMessage="1" sqref="P10:P14">
      <formula1>$Q$25:$Q$50</formula1>
    </dataValidation>
    <dataValidation type="list" allowBlank="1" showInputMessage="1" showErrorMessage="1" sqref="K10:K14">
      <formula1>$I$19:$I$23</formula1>
    </dataValidation>
    <dataValidation type="list" allowBlank="1" showInputMessage="1" showErrorMessage="1" sqref="J10:J14">
      <formula1>$U$25:$U$33</formula1>
    </dataValidation>
  </dataValidations>
  <pageMargins left="0.7" right="0.7" top="0.75" bottom="0.75" header="0.3" footer="0.3"/>
  <pageSetup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18"/>
  <sheetViews>
    <sheetView zoomScale="90" zoomScaleNormal="90" workbookViewId="0">
      <selection activeCell="R17" sqref="R17"/>
    </sheetView>
  </sheetViews>
  <sheetFormatPr baseColWidth="10" defaultColWidth="11.42578125" defaultRowHeight="16.5" x14ac:dyDescent="0.3"/>
  <cols>
    <col min="1" max="1" width="5.7109375" style="161" customWidth="1"/>
    <col min="2" max="2" width="26" style="161" customWidth="1"/>
    <col min="3" max="3" width="19.42578125" style="161" customWidth="1"/>
    <col min="4" max="4" width="13.7109375" style="161" customWidth="1"/>
    <col min="5" max="5" width="6.42578125" style="161" customWidth="1"/>
    <col min="6" max="6" width="7" style="161" customWidth="1"/>
    <col min="7" max="7" width="6.28515625" style="161" customWidth="1"/>
    <col min="8" max="8" width="5" style="161" customWidth="1"/>
    <col min="9" max="9" width="10" style="161" customWidth="1"/>
    <col min="10" max="10" width="19.42578125" style="161" customWidth="1"/>
    <col min="11" max="11" width="17.7109375" style="161" customWidth="1"/>
    <col min="12" max="12" width="5.28515625" style="161" customWidth="1"/>
    <col min="13" max="13" width="21.5703125" style="161" customWidth="1"/>
    <col min="14" max="14" width="20.140625" style="161" customWidth="1"/>
    <col min="15" max="15" width="11.42578125" style="161"/>
    <col min="16" max="16" width="15.28515625" style="161" customWidth="1"/>
    <col min="17" max="17" width="18.140625" style="161" customWidth="1"/>
    <col min="18" max="18" width="17.28515625" style="161" customWidth="1"/>
    <col min="19" max="19" width="15.42578125" style="161" customWidth="1"/>
    <col min="20" max="20" width="15.5703125" style="161" customWidth="1"/>
    <col min="21" max="21" width="17.42578125" style="161" customWidth="1"/>
    <col min="22" max="16384" width="11.42578125" style="161"/>
  </cols>
  <sheetData>
    <row r="2" spans="2:21" x14ac:dyDescent="0.3">
      <c r="N2" s="534" t="s">
        <v>0</v>
      </c>
      <c r="O2" s="534"/>
      <c r="P2" s="534"/>
      <c r="Q2" s="534"/>
      <c r="R2" s="534"/>
      <c r="S2" s="534"/>
      <c r="T2" s="534"/>
      <c r="U2" s="534"/>
    </row>
    <row r="3" spans="2:21" ht="18" x14ac:dyDescent="0.3">
      <c r="N3" s="757" t="s">
        <v>291</v>
      </c>
      <c r="O3" s="757"/>
      <c r="P3" s="757"/>
      <c r="Q3" s="757"/>
      <c r="R3" s="757"/>
      <c r="S3" s="757"/>
      <c r="T3" s="757"/>
      <c r="U3" s="757"/>
    </row>
    <row r="4" spans="2:21" ht="24" customHeight="1" x14ac:dyDescent="0.3"/>
    <row r="5" spans="2:21" x14ac:dyDescent="0.3">
      <c r="B5" s="521" t="s">
        <v>202</v>
      </c>
      <c r="C5" s="521"/>
      <c r="D5" s="521"/>
      <c r="E5" s="521"/>
      <c r="F5" s="521"/>
      <c r="G5" s="521"/>
      <c r="H5" s="521"/>
      <c r="I5" s="521"/>
      <c r="J5" s="521"/>
      <c r="K5" s="521"/>
      <c r="L5" s="521"/>
      <c r="M5" s="521"/>
      <c r="N5" s="521"/>
      <c r="O5" s="521"/>
      <c r="P5" s="521"/>
      <c r="Q5" s="521"/>
      <c r="R5" s="521"/>
      <c r="S5" s="521"/>
      <c r="T5" s="521"/>
      <c r="U5" s="521"/>
    </row>
    <row r="6" spans="2:21" x14ac:dyDescent="0.3">
      <c r="B6" s="521" t="s">
        <v>221</v>
      </c>
      <c r="C6" s="521"/>
      <c r="D6" s="521"/>
      <c r="E6" s="521"/>
      <c r="F6" s="521"/>
      <c r="G6" s="521"/>
      <c r="H6" s="521"/>
      <c r="I6" s="521"/>
      <c r="J6" s="521"/>
      <c r="K6" s="521"/>
      <c r="L6" s="521"/>
      <c r="M6" s="521"/>
      <c r="N6" s="521"/>
      <c r="O6" s="521"/>
      <c r="P6" s="521"/>
      <c r="Q6" s="521"/>
      <c r="R6" s="521"/>
      <c r="S6" s="521"/>
      <c r="T6" s="521"/>
      <c r="U6" s="521"/>
    </row>
    <row r="7" spans="2:21" x14ac:dyDescent="0.3">
      <c r="B7" s="515" t="s">
        <v>3</v>
      </c>
      <c r="C7" s="515"/>
      <c r="D7" s="515"/>
      <c r="E7" s="515"/>
      <c r="F7" s="515"/>
      <c r="G7" s="515"/>
      <c r="H7" s="515"/>
      <c r="I7" s="515"/>
      <c r="J7" s="515"/>
      <c r="K7" s="84"/>
      <c r="L7" s="515" t="s">
        <v>72</v>
      </c>
      <c r="M7" s="515"/>
      <c r="N7" s="515"/>
      <c r="O7" s="515"/>
      <c r="P7" s="515"/>
      <c r="Q7" s="509" t="s">
        <v>4</v>
      </c>
      <c r="R7" s="509"/>
      <c r="S7" s="509"/>
      <c r="T7" s="509"/>
      <c r="U7" s="520" t="s">
        <v>40</v>
      </c>
    </row>
    <row r="8" spans="2:21" ht="54.75" customHeight="1" x14ac:dyDescent="0.3">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520"/>
    </row>
    <row r="9" spans="2:21" ht="67.5" x14ac:dyDescent="0.3">
      <c r="B9" s="517" t="s">
        <v>222</v>
      </c>
      <c r="C9" s="213" t="s">
        <v>377</v>
      </c>
      <c r="D9" s="216" t="s">
        <v>378</v>
      </c>
      <c r="E9" s="297">
        <v>1</v>
      </c>
      <c r="F9" s="56">
        <v>1</v>
      </c>
      <c r="G9" s="56">
        <v>2</v>
      </c>
      <c r="H9" s="56">
        <v>2</v>
      </c>
      <c r="I9" s="150">
        <f t="shared" ref="I9:I14" si="0">SUM(E9:H9)</f>
        <v>6</v>
      </c>
      <c r="J9" s="59" t="s">
        <v>282</v>
      </c>
      <c r="K9" s="59" t="s">
        <v>113</v>
      </c>
      <c r="L9" s="306">
        <v>1</v>
      </c>
      <c r="M9" s="213" t="s">
        <v>377</v>
      </c>
      <c r="N9" s="210" t="s">
        <v>378</v>
      </c>
      <c r="O9" s="56">
        <v>1</v>
      </c>
      <c r="P9" s="59" t="s">
        <v>289</v>
      </c>
      <c r="Q9" s="143">
        <f>R9+S9+T9</f>
        <v>0</v>
      </c>
      <c r="R9" s="83">
        <v>0</v>
      </c>
      <c r="S9" s="83">
        <v>0</v>
      </c>
      <c r="T9" s="83">
        <v>0</v>
      </c>
      <c r="U9" s="63">
        <v>0</v>
      </c>
    </row>
    <row r="10" spans="2:21" ht="67.5" x14ac:dyDescent="0.3">
      <c r="B10" s="517"/>
      <c r="C10" s="68" t="s">
        <v>272</v>
      </c>
      <c r="D10" s="59" t="s">
        <v>273</v>
      </c>
      <c r="E10" s="56">
        <f>365*5</f>
        <v>1825</v>
      </c>
      <c r="F10" s="56">
        <f>365*5</f>
        <v>1825</v>
      </c>
      <c r="G10" s="56">
        <f>365*5</f>
        <v>1825</v>
      </c>
      <c r="H10" s="56">
        <f>365*5</f>
        <v>1825</v>
      </c>
      <c r="I10" s="58">
        <f t="shared" si="0"/>
        <v>7300</v>
      </c>
      <c r="J10" s="59" t="s">
        <v>282</v>
      </c>
      <c r="K10" s="59" t="s">
        <v>113</v>
      </c>
      <c r="L10" s="306">
        <v>2</v>
      </c>
      <c r="M10" s="68" t="s">
        <v>272</v>
      </c>
      <c r="N10" s="60" t="s">
        <v>285</v>
      </c>
      <c r="O10" s="56">
        <f>365*5</f>
        <v>1825</v>
      </c>
      <c r="P10" s="59" t="s">
        <v>290</v>
      </c>
      <c r="Q10" s="143">
        <f>R10+S10+T10</f>
        <v>155000000</v>
      </c>
      <c r="R10" s="83">
        <v>155000000</v>
      </c>
      <c r="S10" s="83">
        <v>0</v>
      </c>
      <c r="T10" s="83">
        <v>0</v>
      </c>
      <c r="U10" s="63">
        <v>0</v>
      </c>
    </row>
    <row r="11" spans="2:21" ht="67.5" x14ac:dyDescent="0.3">
      <c r="B11" s="517"/>
      <c r="C11" s="68" t="s">
        <v>274</v>
      </c>
      <c r="D11" s="59" t="s">
        <v>275</v>
      </c>
      <c r="E11" s="56">
        <v>100</v>
      </c>
      <c r="F11" s="56">
        <v>100</v>
      </c>
      <c r="G11" s="56">
        <v>100</v>
      </c>
      <c r="H11" s="56">
        <v>100</v>
      </c>
      <c r="I11" s="58">
        <f t="shared" si="0"/>
        <v>400</v>
      </c>
      <c r="J11" s="59" t="s">
        <v>282</v>
      </c>
      <c r="K11" s="59" t="s">
        <v>113</v>
      </c>
      <c r="L11" s="306">
        <v>3</v>
      </c>
      <c r="M11" s="68" t="s">
        <v>274</v>
      </c>
      <c r="N11" s="60" t="s">
        <v>286</v>
      </c>
      <c r="O11" s="56">
        <v>100</v>
      </c>
      <c r="P11" s="59" t="s">
        <v>290</v>
      </c>
      <c r="Q11" s="143">
        <f>R11+S11+T11</f>
        <v>165466580</v>
      </c>
      <c r="R11" s="83">
        <f>175000000-9533420</f>
        <v>165466580</v>
      </c>
      <c r="S11" s="83">
        <v>0</v>
      </c>
      <c r="T11" s="83">
        <v>0</v>
      </c>
      <c r="U11" s="63">
        <v>0</v>
      </c>
    </row>
    <row r="12" spans="2:21" ht="67.5" x14ac:dyDescent="0.3">
      <c r="B12" s="517" t="s">
        <v>276</v>
      </c>
      <c r="C12" s="498" t="s">
        <v>277</v>
      </c>
      <c r="D12" s="59" t="s">
        <v>278</v>
      </c>
      <c r="E12" s="57">
        <f>365*6</f>
        <v>2190</v>
      </c>
      <c r="F12" s="215">
        <f>365*6</f>
        <v>2190</v>
      </c>
      <c r="G12" s="57">
        <f>365*6</f>
        <v>2190</v>
      </c>
      <c r="H12" s="57">
        <f>365*6</f>
        <v>2190</v>
      </c>
      <c r="I12" s="58">
        <f t="shared" si="0"/>
        <v>8760</v>
      </c>
      <c r="J12" s="59" t="s">
        <v>282</v>
      </c>
      <c r="K12" s="59" t="s">
        <v>113</v>
      </c>
      <c r="L12" s="683">
        <v>4</v>
      </c>
      <c r="M12" s="498" t="s">
        <v>283</v>
      </c>
      <c r="N12" s="60" t="s">
        <v>287</v>
      </c>
      <c r="O12" s="151">
        <f>365*6</f>
        <v>2190</v>
      </c>
      <c r="P12" s="59" t="s">
        <v>290</v>
      </c>
      <c r="Q12" s="516">
        <f>R12+S12+T12</f>
        <v>0</v>
      </c>
      <c r="R12" s="689">
        <v>0</v>
      </c>
      <c r="S12" s="689">
        <v>0</v>
      </c>
      <c r="T12" s="689">
        <v>0</v>
      </c>
      <c r="U12" s="689">
        <f>1093937186+216462493+9438355</f>
        <v>1319838034</v>
      </c>
    </row>
    <row r="13" spans="2:21" ht="99" customHeight="1" x14ac:dyDescent="0.3">
      <c r="B13" s="517"/>
      <c r="C13" s="498"/>
      <c r="D13" s="59" t="s">
        <v>279</v>
      </c>
      <c r="E13" s="215">
        <v>25</v>
      </c>
      <c r="F13" s="217">
        <v>1</v>
      </c>
      <c r="G13" s="217">
        <v>1</v>
      </c>
      <c r="H13" s="217">
        <v>1</v>
      </c>
      <c r="I13" s="217">
        <v>1</v>
      </c>
      <c r="J13" s="59" t="s">
        <v>282</v>
      </c>
      <c r="K13" s="59" t="s">
        <v>113</v>
      </c>
      <c r="L13" s="683"/>
      <c r="M13" s="498"/>
      <c r="N13" s="209" t="s">
        <v>379</v>
      </c>
      <c r="O13" s="217">
        <v>1</v>
      </c>
      <c r="P13" s="59" t="s">
        <v>290</v>
      </c>
      <c r="Q13" s="516"/>
      <c r="R13" s="689"/>
      <c r="S13" s="689"/>
      <c r="T13" s="689"/>
      <c r="U13" s="689"/>
    </row>
    <row r="14" spans="2:21" ht="67.5" x14ac:dyDescent="0.3">
      <c r="B14" s="517"/>
      <c r="C14" s="59" t="s">
        <v>280</v>
      </c>
      <c r="D14" s="59" t="s">
        <v>281</v>
      </c>
      <c r="E14" s="298">
        <v>365</v>
      </c>
      <c r="F14" s="214">
        <v>1251</v>
      </c>
      <c r="G14" s="214">
        <v>1251</v>
      </c>
      <c r="H14" s="214">
        <v>1251</v>
      </c>
      <c r="I14" s="58">
        <f t="shared" si="0"/>
        <v>4118</v>
      </c>
      <c r="J14" s="59" t="s">
        <v>282</v>
      </c>
      <c r="K14" s="59" t="s">
        <v>113</v>
      </c>
      <c r="L14" s="306">
        <v>5</v>
      </c>
      <c r="M14" s="59" t="s">
        <v>284</v>
      </c>
      <c r="N14" s="60" t="s">
        <v>288</v>
      </c>
      <c r="O14" s="214">
        <v>1251</v>
      </c>
      <c r="P14" s="59" t="s">
        <v>290</v>
      </c>
      <c r="Q14" s="143">
        <f>R14+S14+T14</f>
        <v>0</v>
      </c>
      <c r="R14" s="63">
        <v>0</v>
      </c>
      <c r="S14" s="63">
        <v>0</v>
      </c>
      <c r="T14" s="63">
        <v>0</v>
      </c>
      <c r="U14" s="63">
        <v>0</v>
      </c>
    </row>
    <row r="15" spans="2:21" x14ac:dyDescent="0.3">
      <c r="B15" s="756" t="s">
        <v>53</v>
      </c>
      <c r="C15" s="756"/>
      <c r="D15" s="756"/>
      <c r="E15" s="756"/>
      <c r="F15" s="756"/>
      <c r="G15" s="756"/>
      <c r="H15" s="756"/>
      <c r="I15" s="756"/>
      <c r="J15" s="756"/>
      <c r="K15" s="756"/>
      <c r="L15" s="756"/>
      <c r="M15" s="756"/>
      <c r="N15" s="756"/>
      <c r="O15" s="756"/>
      <c r="P15" s="756"/>
      <c r="Q15" s="175">
        <f>SUM(R15:T15)</f>
        <v>320466580</v>
      </c>
      <c r="R15" s="175">
        <f>SUBTOTAL(9,R2:R14)</f>
        <v>320466580</v>
      </c>
      <c r="S15" s="175">
        <f>SUBTOTAL(9,S2:S14)</f>
        <v>0</v>
      </c>
      <c r="T15" s="175">
        <f>SUBTOTAL(9,T2:T14)</f>
        <v>0</v>
      </c>
      <c r="U15" s="175">
        <f>SUBTOTAL(9,U4:U14)</f>
        <v>1319838034</v>
      </c>
    </row>
    <row r="17" spans="2:18" ht="99" x14ac:dyDescent="0.3">
      <c r="B17" s="296" t="s">
        <v>393</v>
      </c>
      <c r="P17" s="317"/>
      <c r="Q17" s="314" t="s">
        <v>398</v>
      </c>
      <c r="R17" s="318" t="s">
        <v>399</v>
      </c>
    </row>
    <row r="18" spans="2:18" x14ac:dyDescent="0.3">
      <c r="B18" s="312" t="s">
        <v>392</v>
      </c>
    </row>
  </sheetData>
  <mergeCells count="19">
    <mergeCell ref="N2:U2"/>
    <mergeCell ref="M12:M13"/>
    <mergeCell ref="Q12:Q13"/>
    <mergeCell ref="R12:R13"/>
    <mergeCell ref="S12:S13"/>
    <mergeCell ref="B15:P15"/>
    <mergeCell ref="N3:U3"/>
    <mergeCell ref="B12:B14"/>
    <mergeCell ref="C12:C13"/>
    <mergeCell ref="B9:B11"/>
    <mergeCell ref="T12:T13"/>
    <mergeCell ref="U12:U13"/>
    <mergeCell ref="B5:U5"/>
    <mergeCell ref="B6:U6"/>
    <mergeCell ref="B7:J7"/>
    <mergeCell ref="L7:P7"/>
    <mergeCell ref="Q7:T7"/>
    <mergeCell ref="U7:U8"/>
    <mergeCell ref="L12:L13"/>
  </mergeCells>
  <conditionalFormatting sqref="E9:H9">
    <cfRule type="expression" dxfId="31" priority="12" stopIfTrue="1">
      <formula>+IF((#REF!+#REF!+#REF!+#REF!+#REF!)&lt;&gt;$J9,1,0)</formula>
    </cfRule>
  </conditionalFormatting>
  <conditionalFormatting sqref="E10:H10">
    <cfRule type="expression" dxfId="30" priority="11" stopIfTrue="1">
      <formula>+IF((#REF!+#REF!+#REF!+#REF!+#REF!)&lt;&gt;$J10,1,0)</formula>
    </cfRule>
  </conditionalFormatting>
  <conditionalFormatting sqref="E11:H11">
    <cfRule type="expression" dxfId="29" priority="10" stopIfTrue="1">
      <formula>+IF((#REF!+#REF!+#REF!+#REF!+#REF!)&lt;&gt;$J11,1,0)</formula>
    </cfRule>
  </conditionalFormatting>
  <conditionalFormatting sqref="E12:H12">
    <cfRule type="expression" dxfId="28" priority="9" stopIfTrue="1">
      <formula>+IF((#REF!+#REF!+#REF!+#REF!+#REF!)&lt;&gt;$J12,1,0)</formula>
    </cfRule>
  </conditionalFormatting>
  <conditionalFormatting sqref="E13:H13">
    <cfRule type="expression" dxfId="27" priority="8" stopIfTrue="1">
      <formula>+IF((#REF!+#REF!+#REF!+#REF!+#REF!)&lt;&gt;$J13,1,0)</formula>
    </cfRule>
  </conditionalFormatting>
  <conditionalFormatting sqref="E14:H14">
    <cfRule type="expression" dxfId="26" priority="7" stopIfTrue="1">
      <formula>+IF((#REF!+#REF!+#REF!+#REF!+#REF!)&lt;&gt;$J14,1,0)</formula>
    </cfRule>
  </conditionalFormatting>
  <conditionalFormatting sqref="O9">
    <cfRule type="expression" dxfId="25" priority="6" stopIfTrue="1">
      <formula>+IF((#REF!+#REF!+#REF!+#REF!+#REF!)&lt;&gt;$L9,1,0)</formula>
    </cfRule>
  </conditionalFormatting>
  <conditionalFormatting sqref="O10">
    <cfRule type="expression" dxfId="24" priority="5" stopIfTrue="1">
      <formula>+IF((#REF!+#REF!+#REF!+#REF!+#REF!)&lt;&gt;$L10,1,0)</formula>
    </cfRule>
  </conditionalFormatting>
  <conditionalFormatting sqref="O11">
    <cfRule type="expression" dxfId="23" priority="4" stopIfTrue="1">
      <formula>+IF((#REF!+#REF!+#REF!+#REF!+#REF!)&lt;&gt;$L11,1,0)</formula>
    </cfRule>
  </conditionalFormatting>
  <conditionalFormatting sqref="O14">
    <cfRule type="expression" dxfId="22" priority="3" stopIfTrue="1">
      <formula>+IF((#REF!+#REF!+#REF!+#REF!+#REF!)&lt;&gt;$L14,1,0)</formula>
    </cfRule>
  </conditionalFormatting>
  <conditionalFormatting sqref="I13">
    <cfRule type="expression" dxfId="21" priority="2" stopIfTrue="1">
      <formula>+IF((#REF!+#REF!+#REF!+#REF!+#REF!)&lt;&gt;$J13,1,0)</formula>
    </cfRule>
  </conditionalFormatting>
  <conditionalFormatting sqref="O13">
    <cfRule type="expression" dxfId="20" priority="1" stopIfTrue="1">
      <formula>+IF((#REF!+#REF!+#REF!+#REF!+#REF!)&lt;&gt;$J13,1,0)</formula>
    </cfRule>
  </conditionalFormatting>
  <dataValidations count="4">
    <dataValidation type="list" allowBlank="1" showInputMessage="1" showErrorMessage="1" sqref="J9:J14">
      <formula1>$S$28:$S$36</formula1>
    </dataValidation>
    <dataValidation type="list" allowBlank="1" showInputMessage="1" showErrorMessage="1" sqref="K9:K14">
      <formula1>$G$23:$G$26</formula1>
    </dataValidation>
    <dataValidation type="list" allowBlank="1" showInputMessage="1" showErrorMessage="1" sqref="P9">
      <formula1>$P$28:$P$53</formula1>
    </dataValidation>
    <dataValidation type="list" allowBlank="1" showInputMessage="1" showErrorMessage="1" sqref="P10:P14">
      <formula1>$Q$29:$Q$54</formula1>
    </dataValidation>
  </dataValidations>
  <pageMargins left="0.7" right="0.7" top="0.75" bottom="0.75" header="0.3" footer="0.3"/>
  <pageSetup orientation="portrait" r:id="rId1"/>
  <ignoredErrors>
    <ignoredError sqref="Q14 Q9:Q12 R11" unlocked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Z17"/>
  <sheetViews>
    <sheetView topLeftCell="V12" zoomScale="85" zoomScaleNormal="85" workbookViewId="0">
      <selection activeCell="W13" sqref="W13"/>
    </sheetView>
  </sheetViews>
  <sheetFormatPr baseColWidth="10" defaultColWidth="11.42578125" defaultRowHeight="16.5" x14ac:dyDescent="0.3"/>
  <cols>
    <col min="1" max="1" width="5.7109375" style="161" customWidth="1"/>
    <col min="2" max="2" width="26" style="161" customWidth="1"/>
    <col min="3" max="3" width="19.42578125" style="161" customWidth="1"/>
    <col min="4" max="4" width="13.7109375" style="161" customWidth="1"/>
    <col min="5" max="5" width="6.42578125" style="161" customWidth="1"/>
    <col min="6" max="6" width="7" style="161" customWidth="1"/>
    <col min="7" max="7" width="6.28515625" style="161" customWidth="1"/>
    <col min="8" max="8" width="5" style="161" customWidth="1"/>
    <col min="9" max="9" width="10" style="161" customWidth="1"/>
    <col min="10" max="10" width="19.42578125" style="161" customWidth="1"/>
    <col min="11" max="11" width="17.7109375" style="161" customWidth="1"/>
    <col min="12" max="12" width="5.28515625" style="161" customWidth="1"/>
    <col min="13" max="13" width="21.5703125" style="161" customWidth="1"/>
    <col min="14" max="14" width="20.140625" style="161" customWidth="1"/>
    <col min="15" max="15" width="11.42578125" style="161"/>
    <col min="16" max="16" width="15.28515625" style="161" customWidth="1"/>
    <col min="17" max="17" width="21" style="161" customWidth="1"/>
    <col min="18" max="18" width="17.28515625" style="161" customWidth="1"/>
    <col min="19" max="19" width="15.42578125" style="161" customWidth="1"/>
    <col min="20" max="20" width="15.5703125" style="161" customWidth="1"/>
    <col min="21" max="21" width="17.42578125" style="161" customWidth="1"/>
    <col min="22" max="22" width="101.28515625" style="161" customWidth="1"/>
    <col min="23" max="24" width="66.85546875" style="161" customWidth="1"/>
    <col min="25" max="25" width="70.7109375" style="161" customWidth="1"/>
    <col min="26" max="26" width="37.7109375" style="161" customWidth="1"/>
    <col min="27" max="16384" width="11.42578125" style="161"/>
  </cols>
  <sheetData>
    <row r="2" spans="2:26" x14ac:dyDescent="0.3">
      <c r="N2" s="534" t="s">
        <v>0</v>
      </c>
      <c r="O2" s="534"/>
      <c r="P2" s="534"/>
      <c r="Q2" s="534"/>
      <c r="R2" s="534"/>
      <c r="S2" s="534"/>
      <c r="T2" s="534"/>
      <c r="U2" s="534"/>
    </row>
    <row r="3" spans="2:26" ht="18" x14ac:dyDescent="0.3">
      <c r="N3" s="757" t="s">
        <v>291</v>
      </c>
      <c r="O3" s="757"/>
      <c r="P3" s="757"/>
      <c r="Q3" s="757"/>
      <c r="R3" s="757"/>
      <c r="S3" s="757"/>
      <c r="T3" s="757"/>
      <c r="U3" s="757"/>
    </row>
    <row r="4" spans="2:26" ht="24" customHeight="1" x14ac:dyDescent="0.3"/>
    <row r="5" spans="2:26" x14ac:dyDescent="0.3">
      <c r="B5" s="521" t="s">
        <v>202</v>
      </c>
      <c r="C5" s="521"/>
      <c r="D5" s="521"/>
      <c r="E5" s="521"/>
      <c r="F5" s="521"/>
      <c r="G5" s="521"/>
      <c r="H5" s="521"/>
      <c r="I5" s="521"/>
      <c r="J5" s="521"/>
      <c r="K5" s="521"/>
      <c r="L5" s="521"/>
      <c r="M5" s="521"/>
      <c r="N5" s="521"/>
      <c r="O5" s="521"/>
      <c r="P5" s="521"/>
      <c r="Q5" s="521"/>
      <c r="R5" s="521"/>
      <c r="S5" s="521"/>
      <c r="T5" s="521"/>
      <c r="U5" s="521"/>
    </row>
    <row r="6" spans="2:26" x14ac:dyDescent="0.3">
      <c r="B6" s="521" t="s">
        <v>718</v>
      </c>
      <c r="C6" s="521"/>
      <c r="D6" s="521"/>
      <c r="E6" s="521"/>
      <c r="F6" s="521"/>
      <c r="G6" s="521"/>
      <c r="H6" s="521"/>
      <c r="I6" s="521"/>
      <c r="J6" s="521"/>
      <c r="K6" s="521"/>
      <c r="L6" s="521"/>
      <c r="M6" s="521"/>
      <c r="N6" s="521"/>
      <c r="O6" s="521"/>
      <c r="P6" s="521"/>
      <c r="Q6" s="521"/>
      <c r="R6" s="521"/>
      <c r="S6" s="521"/>
      <c r="T6" s="521"/>
      <c r="U6" s="521"/>
      <c r="W6" s="705" t="s">
        <v>413</v>
      </c>
      <c r="X6" s="705"/>
      <c r="Y6" s="705"/>
    </row>
    <row r="7" spans="2:26" x14ac:dyDescent="0.3">
      <c r="B7" s="515" t="s">
        <v>3</v>
      </c>
      <c r="C7" s="515"/>
      <c r="D7" s="515"/>
      <c r="E7" s="515"/>
      <c r="F7" s="515"/>
      <c r="G7" s="515"/>
      <c r="H7" s="515"/>
      <c r="I7" s="515"/>
      <c r="J7" s="515"/>
      <c r="K7" s="275"/>
      <c r="L7" s="515" t="s">
        <v>72</v>
      </c>
      <c r="M7" s="515"/>
      <c r="N7" s="515"/>
      <c r="O7" s="515"/>
      <c r="P7" s="515"/>
      <c r="Q7" s="509" t="s">
        <v>4</v>
      </c>
      <c r="R7" s="509"/>
      <c r="S7" s="509"/>
      <c r="T7" s="509"/>
      <c r="U7" s="520" t="s">
        <v>40</v>
      </c>
      <c r="W7" s="553" t="s">
        <v>410</v>
      </c>
      <c r="X7" s="554"/>
      <c r="Y7" s="759" t="s">
        <v>445</v>
      </c>
    </row>
    <row r="8" spans="2:26" ht="30" customHeight="1" x14ac:dyDescent="0.3">
      <c r="B8" s="273" t="s">
        <v>51</v>
      </c>
      <c r="C8" s="273" t="s">
        <v>12</v>
      </c>
      <c r="D8" s="273" t="s">
        <v>52</v>
      </c>
      <c r="E8" s="273" t="s">
        <v>24</v>
      </c>
      <c r="F8" s="273" t="s">
        <v>25</v>
      </c>
      <c r="G8" s="273" t="s">
        <v>26</v>
      </c>
      <c r="H8" s="273" t="s">
        <v>27</v>
      </c>
      <c r="I8" s="273" t="s">
        <v>28</v>
      </c>
      <c r="J8" s="273" t="s">
        <v>29</v>
      </c>
      <c r="K8" s="273" t="s">
        <v>47</v>
      </c>
      <c r="L8" s="279" t="s">
        <v>14</v>
      </c>
      <c r="M8" s="279" t="s">
        <v>79</v>
      </c>
      <c r="N8" s="279" t="s">
        <v>15</v>
      </c>
      <c r="O8" s="279" t="s">
        <v>16</v>
      </c>
      <c r="P8" s="273" t="s">
        <v>48</v>
      </c>
      <c r="Q8" s="279" t="s">
        <v>17</v>
      </c>
      <c r="R8" s="279" t="s">
        <v>18</v>
      </c>
      <c r="S8" s="279" t="s">
        <v>19</v>
      </c>
      <c r="T8" s="279" t="s">
        <v>361</v>
      </c>
      <c r="U8" s="520"/>
      <c r="V8" s="382" t="s">
        <v>426</v>
      </c>
      <c r="W8" s="335" t="s">
        <v>414</v>
      </c>
      <c r="X8" s="335" t="s">
        <v>409</v>
      </c>
      <c r="Y8" s="760"/>
    </row>
    <row r="9" spans="2:26" ht="258.75" customHeight="1" x14ac:dyDescent="0.3">
      <c r="B9" s="517" t="s">
        <v>222</v>
      </c>
      <c r="C9" s="213" t="s">
        <v>377</v>
      </c>
      <c r="D9" s="216" t="s">
        <v>378</v>
      </c>
      <c r="E9" s="301">
        <v>1</v>
      </c>
      <c r="F9" s="281">
        <v>1</v>
      </c>
      <c r="G9" s="281">
        <v>2</v>
      </c>
      <c r="H9" s="281">
        <v>2</v>
      </c>
      <c r="I9" s="287">
        <f t="shared" ref="I9:I14" si="0">SUM(E9:H9)</f>
        <v>6</v>
      </c>
      <c r="J9" s="269" t="s">
        <v>282</v>
      </c>
      <c r="K9" s="269" t="s">
        <v>113</v>
      </c>
      <c r="L9" s="350">
        <v>1</v>
      </c>
      <c r="M9" s="475" t="s">
        <v>377</v>
      </c>
      <c r="N9" s="477" t="s">
        <v>378</v>
      </c>
      <c r="O9" s="281">
        <v>1</v>
      </c>
      <c r="P9" s="269" t="s">
        <v>289</v>
      </c>
      <c r="Q9" s="276">
        <f>R9+S9+T9</f>
        <v>0</v>
      </c>
      <c r="R9" s="286">
        <v>0</v>
      </c>
      <c r="S9" s="286">
        <v>0</v>
      </c>
      <c r="T9" s="286">
        <v>0</v>
      </c>
      <c r="U9" s="274">
        <v>0</v>
      </c>
      <c r="V9" s="362" t="s">
        <v>519</v>
      </c>
      <c r="W9" s="465" t="s">
        <v>701</v>
      </c>
      <c r="X9" s="465" t="s">
        <v>702</v>
      </c>
      <c r="Y9" s="465" t="s">
        <v>720</v>
      </c>
      <c r="Z9" s="379" t="s">
        <v>589</v>
      </c>
    </row>
    <row r="10" spans="2:26" ht="158.25" customHeight="1" x14ac:dyDescent="0.3">
      <c r="B10" s="517"/>
      <c r="C10" s="268" t="s">
        <v>272</v>
      </c>
      <c r="D10" s="269" t="s">
        <v>273</v>
      </c>
      <c r="E10" s="281">
        <f>365*5</f>
        <v>1825</v>
      </c>
      <c r="F10" s="281">
        <f>365*5</f>
        <v>1825</v>
      </c>
      <c r="G10" s="281">
        <f>365*5</f>
        <v>1825</v>
      </c>
      <c r="H10" s="281">
        <f>365*5</f>
        <v>1825</v>
      </c>
      <c r="I10" s="272">
        <f t="shared" si="0"/>
        <v>7300</v>
      </c>
      <c r="J10" s="269" t="s">
        <v>282</v>
      </c>
      <c r="K10" s="269" t="s">
        <v>113</v>
      </c>
      <c r="L10" s="350">
        <v>2</v>
      </c>
      <c r="M10" s="268" t="s">
        <v>272</v>
      </c>
      <c r="N10" s="271" t="s">
        <v>285</v>
      </c>
      <c r="O10" s="281">
        <f>365*5</f>
        <v>1825</v>
      </c>
      <c r="P10" s="269" t="s">
        <v>290</v>
      </c>
      <c r="Q10" s="276">
        <f>R10+S10+T10</f>
        <v>155000000</v>
      </c>
      <c r="R10" s="286">
        <v>155000000</v>
      </c>
      <c r="S10" s="286">
        <v>0</v>
      </c>
      <c r="T10" s="286">
        <v>0</v>
      </c>
      <c r="U10" s="274">
        <v>0</v>
      </c>
      <c r="V10" s="386" t="s">
        <v>520</v>
      </c>
      <c r="W10" s="465" t="s">
        <v>703</v>
      </c>
      <c r="X10" s="465" t="s">
        <v>522</v>
      </c>
      <c r="Y10" s="465" t="s">
        <v>711</v>
      </c>
      <c r="Z10" s="379" t="s">
        <v>523</v>
      </c>
    </row>
    <row r="11" spans="2:26" ht="242.25" customHeight="1" x14ac:dyDescent="0.3">
      <c r="B11" s="517"/>
      <c r="C11" s="268" t="s">
        <v>274</v>
      </c>
      <c r="D11" s="269" t="s">
        <v>275</v>
      </c>
      <c r="E11" s="281">
        <v>100</v>
      </c>
      <c r="F11" s="281">
        <v>100</v>
      </c>
      <c r="G11" s="281">
        <v>100</v>
      </c>
      <c r="H11" s="281">
        <v>100</v>
      </c>
      <c r="I11" s="272">
        <f t="shared" si="0"/>
        <v>400</v>
      </c>
      <c r="J11" s="269" t="s">
        <v>282</v>
      </c>
      <c r="K11" s="269" t="s">
        <v>113</v>
      </c>
      <c r="L11" s="350">
        <v>3</v>
      </c>
      <c r="M11" s="268" t="s">
        <v>274</v>
      </c>
      <c r="N11" s="271" t="s">
        <v>286</v>
      </c>
      <c r="O11" s="281">
        <v>100</v>
      </c>
      <c r="P11" s="269" t="s">
        <v>290</v>
      </c>
      <c r="Q11" s="276">
        <f>R11+S11+T11</f>
        <v>165466580</v>
      </c>
      <c r="R11" s="286">
        <f>175000000-9533420</f>
        <v>165466580</v>
      </c>
      <c r="S11" s="286">
        <v>0</v>
      </c>
      <c r="T11" s="286">
        <v>0</v>
      </c>
      <c r="U11" s="274">
        <v>0</v>
      </c>
      <c r="V11" s="386" t="s">
        <v>521</v>
      </c>
      <c r="W11" s="465" t="s">
        <v>712</v>
      </c>
      <c r="X11" s="465" t="s">
        <v>704</v>
      </c>
      <c r="Y11" s="465" t="s">
        <v>713</v>
      </c>
      <c r="Z11" s="379" t="s">
        <v>524</v>
      </c>
    </row>
    <row r="12" spans="2:26" ht="143.25" customHeight="1" x14ac:dyDescent="0.3">
      <c r="B12" s="517" t="s">
        <v>276</v>
      </c>
      <c r="C12" s="498" t="s">
        <v>277</v>
      </c>
      <c r="D12" s="269" t="s">
        <v>278</v>
      </c>
      <c r="E12" s="270">
        <f>365*6</f>
        <v>2190</v>
      </c>
      <c r="F12" s="215">
        <f>365*6</f>
        <v>2190</v>
      </c>
      <c r="G12" s="270">
        <f>365*6</f>
        <v>2190</v>
      </c>
      <c r="H12" s="270">
        <f>365*6</f>
        <v>2190</v>
      </c>
      <c r="I12" s="272">
        <f t="shared" si="0"/>
        <v>8760</v>
      </c>
      <c r="J12" s="269" t="s">
        <v>282</v>
      </c>
      <c r="K12" s="269" t="s">
        <v>113</v>
      </c>
      <c r="L12" s="508">
        <v>4</v>
      </c>
      <c r="M12" s="498" t="s">
        <v>283</v>
      </c>
      <c r="N12" s="271" t="s">
        <v>287</v>
      </c>
      <c r="O12" s="151">
        <f>365*6</f>
        <v>2190</v>
      </c>
      <c r="P12" s="269" t="s">
        <v>290</v>
      </c>
      <c r="Q12" s="516">
        <f>R12+S12+T12</f>
        <v>0</v>
      </c>
      <c r="R12" s="689">
        <v>0</v>
      </c>
      <c r="S12" s="689">
        <v>0</v>
      </c>
      <c r="T12" s="689">
        <v>0</v>
      </c>
      <c r="U12" s="689">
        <f>1093937186+216462493+9438355</f>
        <v>1319838034</v>
      </c>
      <c r="V12" s="386" t="s">
        <v>525</v>
      </c>
      <c r="W12" s="478" t="s">
        <v>714</v>
      </c>
      <c r="X12" s="550" t="s">
        <v>715</v>
      </c>
      <c r="Y12" s="550" t="s">
        <v>719</v>
      </c>
      <c r="Z12" s="541" t="s">
        <v>716</v>
      </c>
    </row>
    <row r="13" spans="2:26" ht="186" customHeight="1" x14ac:dyDescent="0.3">
      <c r="B13" s="517"/>
      <c r="C13" s="498"/>
      <c r="D13" s="269" t="s">
        <v>279</v>
      </c>
      <c r="E13" s="215">
        <v>25</v>
      </c>
      <c r="F13" s="69">
        <v>1</v>
      </c>
      <c r="G13" s="69">
        <v>1</v>
      </c>
      <c r="H13" s="69">
        <v>1</v>
      </c>
      <c r="I13" s="69">
        <v>1</v>
      </c>
      <c r="J13" s="269" t="s">
        <v>282</v>
      </c>
      <c r="K13" s="269" t="s">
        <v>113</v>
      </c>
      <c r="L13" s="508"/>
      <c r="M13" s="498"/>
      <c r="N13" s="284" t="s">
        <v>379</v>
      </c>
      <c r="O13" s="69">
        <v>1</v>
      </c>
      <c r="P13" s="269" t="s">
        <v>290</v>
      </c>
      <c r="Q13" s="516"/>
      <c r="R13" s="689"/>
      <c r="S13" s="689"/>
      <c r="T13" s="689"/>
      <c r="U13" s="689"/>
      <c r="V13" s="386" t="s">
        <v>526</v>
      </c>
      <c r="W13" s="383" t="s">
        <v>717</v>
      </c>
      <c r="X13" s="552"/>
      <c r="Y13" s="758"/>
      <c r="Z13" s="541"/>
    </row>
    <row r="14" spans="2:26" ht="280.5" x14ac:dyDescent="0.3">
      <c r="B14" s="517"/>
      <c r="C14" s="269" t="s">
        <v>280</v>
      </c>
      <c r="D14" s="269" t="s">
        <v>281</v>
      </c>
      <c r="E14" s="298">
        <v>365</v>
      </c>
      <c r="F14" s="476">
        <v>1251</v>
      </c>
      <c r="G14" s="476">
        <v>1251</v>
      </c>
      <c r="H14" s="476">
        <v>1251</v>
      </c>
      <c r="I14" s="272">
        <f t="shared" si="0"/>
        <v>4118</v>
      </c>
      <c r="J14" s="269" t="s">
        <v>282</v>
      </c>
      <c r="K14" s="269" t="s">
        <v>113</v>
      </c>
      <c r="L14" s="350">
        <v>5</v>
      </c>
      <c r="M14" s="269" t="s">
        <v>284</v>
      </c>
      <c r="N14" s="271" t="s">
        <v>288</v>
      </c>
      <c r="O14" s="476">
        <v>1251</v>
      </c>
      <c r="P14" s="269" t="s">
        <v>290</v>
      </c>
      <c r="Q14" s="276">
        <f>R14+S14+T14</f>
        <v>0</v>
      </c>
      <c r="R14" s="274">
        <v>0</v>
      </c>
      <c r="S14" s="274">
        <v>0</v>
      </c>
      <c r="T14" s="274">
        <v>0</v>
      </c>
      <c r="U14" s="274">
        <v>0</v>
      </c>
      <c r="V14" s="386" t="s">
        <v>527</v>
      </c>
      <c r="W14" s="465" t="s">
        <v>722</v>
      </c>
      <c r="X14" s="466" t="s">
        <v>587</v>
      </c>
      <c r="Y14" s="465" t="s">
        <v>723</v>
      </c>
      <c r="Z14" s="379" t="s">
        <v>721</v>
      </c>
    </row>
    <row r="15" spans="2:26" x14ac:dyDescent="0.3">
      <c r="B15" s="756" t="s">
        <v>53</v>
      </c>
      <c r="C15" s="756"/>
      <c r="D15" s="756"/>
      <c r="E15" s="756"/>
      <c r="F15" s="756"/>
      <c r="G15" s="756"/>
      <c r="H15" s="756"/>
      <c r="I15" s="756"/>
      <c r="J15" s="756"/>
      <c r="K15" s="756"/>
      <c r="L15" s="756"/>
      <c r="M15" s="756"/>
      <c r="N15" s="756"/>
      <c r="O15" s="756"/>
      <c r="P15" s="756"/>
      <c r="Q15" s="175">
        <f>SUM(R15:T15)</f>
        <v>320466580</v>
      </c>
      <c r="R15" s="175">
        <f>SUBTOTAL(9,R2:R14)</f>
        <v>320466580</v>
      </c>
      <c r="S15" s="175">
        <f>SUBTOTAL(9,S2:S14)</f>
        <v>0</v>
      </c>
      <c r="T15" s="175">
        <f>SUBTOTAL(9,T2:T14)</f>
        <v>0</v>
      </c>
      <c r="U15" s="175">
        <f>SUBTOTAL(9,U4:U14)</f>
        <v>1319838034</v>
      </c>
    </row>
    <row r="16" spans="2:26" ht="30" customHeight="1" x14ac:dyDescent="0.3">
      <c r="B16" s="559" t="s">
        <v>700</v>
      </c>
      <c r="C16" s="559"/>
      <c r="D16" s="559"/>
      <c r="E16" s="559"/>
      <c r="F16" s="559"/>
      <c r="G16" s="559"/>
      <c r="H16" s="559"/>
      <c r="I16" s="559"/>
      <c r="J16" s="559"/>
      <c r="K16" s="559"/>
      <c r="L16" s="559"/>
      <c r="M16" s="559"/>
      <c r="N16" s="559"/>
      <c r="O16" s="559"/>
      <c r="P16" s="559"/>
      <c r="Q16" s="559"/>
      <c r="R16" s="559"/>
      <c r="S16" s="559"/>
      <c r="T16" s="559"/>
      <c r="U16" s="559"/>
    </row>
    <row r="17" spans="2:23" ht="66" x14ac:dyDescent="0.3">
      <c r="B17" s="296" t="s">
        <v>393</v>
      </c>
      <c r="P17" s="317"/>
      <c r="Q17" s="314" t="s">
        <v>398</v>
      </c>
      <c r="R17" s="318" t="s">
        <v>399</v>
      </c>
      <c r="W17" s="314" t="s">
        <v>417</v>
      </c>
    </row>
  </sheetData>
  <mergeCells count="26">
    <mergeCell ref="Y7:Y8"/>
    <mergeCell ref="B9:B11"/>
    <mergeCell ref="B12:B14"/>
    <mergeCell ref="C12:C13"/>
    <mergeCell ref="L12:L13"/>
    <mergeCell ref="M12:M13"/>
    <mergeCell ref="B7:J7"/>
    <mergeCell ref="L7:P7"/>
    <mergeCell ref="Q7:T7"/>
    <mergeCell ref="U7:U8"/>
    <mergeCell ref="W7:X7"/>
    <mergeCell ref="W6:Y6"/>
    <mergeCell ref="N2:U2"/>
    <mergeCell ref="N3:U3"/>
    <mergeCell ref="B5:U5"/>
    <mergeCell ref="B6:U6"/>
    <mergeCell ref="Z12:Z13"/>
    <mergeCell ref="X12:X13"/>
    <mergeCell ref="Y12:Y13"/>
    <mergeCell ref="B16:U16"/>
    <mergeCell ref="R12:R13"/>
    <mergeCell ref="S12:S13"/>
    <mergeCell ref="T12:T13"/>
    <mergeCell ref="U12:U13"/>
    <mergeCell ref="B15:P15"/>
    <mergeCell ref="Q12:Q13"/>
  </mergeCells>
  <conditionalFormatting sqref="E9:H9">
    <cfRule type="expression" dxfId="19" priority="12" stopIfTrue="1">
      <formula>+IF((#REF!+#REF!+#REF!+#REF!+#REF!)&lt;&gt;$J9,1,0)</formula>
    </cfRule>
  </conditionalFormatting>
  <conditionalFormatting sqref="E10:H10">
    <cfRule type="expression" dxfId="18" priority="11" stopIfTrue="1">
      <formula>+IF((#REF!+#REF!+#REF!+#REF!+#REF!)&lt;&gt;$J10,1,0)</formula>
    </cfRule>
  </conditionalFormatting>
  <conditionalFormatting sqref="E11:H11">
    <cfRule type="expression" dxfId="17" priority="10" stopIfTrue="1">
      <formula>+IF((#REF!+#REF!+#REF!+#REF!+#REF!)&lt;&gt;$J11,1,0)</formula>
    </cfRule>
  </conditionalFormatting>
  <conditionalFormatting sqref="E12:H12">
    <cfRule type="expression" dxfId="16" priority="9" stopIfTrue="1">
      <formula>+IF((#REF!+#REF!+#REF!+#REF!+#REF!)&lt;&gt;$J12,1,0)</formula>
    </cfRule>
  </conditionalFormatting>
  <conditionalFormatting sqref="E13:H13">
    <cfRule type="expression" dxfId="15" priority="8" stopIfTrue="1">
      <formula>+IF((#REF!+#REF!+#REF!+#REF!+#REF!)&lt;&gt;$J13,1,0)</formula>
    </cfRule>
  </conditionalFormatting>
  <conditionalFormatting sqref="E14:H14">
    <cfRule type="expression" dxfId="14" priority="7" stopIfTrue="1">
      <formula>+IF((#REF!+#REF!+#REF!+#REF!+#REF!)&lt;&gt;$J14,1,0)</formula>
    </cfRule>
  </conditionalFormatting>
  <conditionalFormatting sqref="O9">
    <cfRule type="expression" dxfId="13" priority="6" stopIfTrue="1">
      <formula>+IF((#REF!+#REF!+#REF!+#REF!+#REF!)&lt;&gt;$L9,1,0)</formula>
    </cfRule>
  </conditionalFormatting>
  <conditionalFormatting sqref="O10">
    <cfRule type="expression" dxfId="12" priority="5" stopIfTrue="1">
      <formula>+IF((#REF!+#REF!+#REF!+#REF!+#REF!)&lt;&gt;$L10,1,0)</formula>
    </cfRule>
  </conditionalFormatting>
  <conditionalFormatting sqref="O11">
    <cfRule type="expression" dxfId="11" priority="4" stopIfTrue="1">
      <formula>+IF((#REF!+#REF!+#REF!+#REF!+#REF!)&lt;&gt;$L11,1,0)</formula>
    </cfRule>
  </conditionalFormatting>
  <conditionalFormatting sqref="O14">
    <cfRule type="expression" dxfId="10" priority="3" stopIfTrue="1">
      <formula>+IF((#REF!+#REF!+#REF!+#REF!+#REF!)&lt;&gt;$L14,1,0)</formula>
    </cfRule>
  </conditionalFormatting>
  <conditionalFormatting sqref="I13">
    <cfRule type="expression" dxfId="9" priority="2" stopIfTrue="1">
      <formula>+IF((#REF!+#REF!+#REF!+#REF!+#REF!)&lt;&gt;$J13,1,0)</formula>
    </cfRule>
  </conditionalFormatting>
  <conditionalFormatting sqref="O13">
    <cfRule type="expression" dxfId="8" priority="1" stopIfTrue="1">
      <formula>+IF((#REF!+#REF!+#REF!+#REF!+#REF!)&lt;&gt;$J13,1,0)</formula>
    </cfRule>
  </conditionalFormatting>
  <dataValidations count="4">
    <dataValidation type="list" allowBlank="1" showInputMessage="1" showErrorMessage="1" sqref="P10:P14">
      <formula1>$Q$28:$Q$53</formula1>
    </dataValidation>
    <dataValidation type="list" allowBlank="1" showInputMessage="1" showErrorMessage="1" sqref="P9">
      <formula1>$P$27:$P$52</formula1>
    </dataValidation>
    <dataValidation type="list" allowBlank="1" showInputMessage="1" showErrorMessage="1" sqref="K9:K14">
      <formula1>$G$22:$G$25</formula1>
    </dataValidation>
    <dataValidation type="list" allowBlank="1" showInputMessage="1" showErrorMessage="1" sqref="J9:J14">
      <formula1>$S$27:$S$35</formula1>
    </dataValidation>
  </dataValidation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V31"/>
  <sheetViews>
    <sheetView topLeftCell="A14" zoomScale="90" zoomScaleNormal="90" workbookViewId="0">
      <selection activeCell="Q24" sqref="Q24"/>
    </sheetView>
  </sheetViews>
  <sheetFormatPr baseColWidth="10" defaultRowHeight="15" x14ac:dyDescent="0.25"/>
  <cols>
    <col min="2" max="2" width="20.140625" customWidth="1"/>
    <col min="3" max="3" width="20.5703125" customWidth="1"/>
    <col min="4" max="4" width="22.42578125" customWidth="1"/>
    <col min="5" max="5" width="5.42578125" customWidth="1"/>
    <col min="6" max="6" width="4.7109375" customWidth="1"/>
    <col min="7" max="7" width="5" customWidth="1"/>
    <col min="8" max="8" width="5.140625" customWidth="1"/>
    <col min="9" max="9" width="10.140625" customWidth="1"/>
    <col min="11" max="11" width="16.140625" customWidth="1"/>
    <col min="12" max="12" width="5.85546875" customWidth="1"/>
    <col min="13" max="13" width="25.28515625" customWidth="1"/>
    <col min="14" max="14" width="16.140625" customWidth="1"/>
    <col min="15" max="15" width="8.7109375" customWidth="1"/>
    <col min="16" max="16" width="20.28515625" customWidth="1"/>
    <col min="17" max="17" width="16.7109375" bestFit="1" customWidth="1"/>
    <col min="18" max="18" width="18.140625" customWidth="1"/>
    <col min="19" max="19" width="15.140625" customWidth="1"/>
    <col min="20" max="20" width="18.28515625" customWidth="1"/>
    <col min="21" max="21" width="20.7109375" customWidth="1"/>
    <col min="22" max="22" width="17.7109375" bestFit="1" customWidth="1"/>
    <col min="25" max="25" width="12" bestFit="1" customWidth="1"/>
    <col min="26" max="26" width="19.140625" customWidth="1"/>
  </cols>
  <sheetData>
    <row r="1" spans="2:21" ht="50.25" customHeight="1" x14ac:dyDescent="0.25">
      <c r="M1" s="581" t="s">
        <v>0</v>
      </c>
      <c r="N1" s="581"/>
      <c r="O1" s="581"/>
      <c r="P1" s="581"/>
      <c r="Q1" s="581"/>
      <c r="R1" s="581"/>
      <c r="S1" s="581"/>
      <c r="T1" s="581"/>
      <c r="U1" s="581"/>
    </row>
    <row r="2" spans="2:21" ht="24" customHeight="1" x14ac:dyDescent="0.25">
      <c r="M2" s="775" t="s">
        <v>346</v>
      </c>
      <c r="N2" s="775"/>
      <c r="O2" s="775"/>
      <c r="P2" s="775"/>
      <c r="Q2" s="775"/>
      <c r="R2" s="775"/>
      <c r="S2" s="775"/>
      <c r="T2" s="775"/>
      <c r="U2" s="775"/>
    </row>
    <row r="3" spans="2:21" ht="16.5" x14ac:dyDescent="0.25">
      <c r="B3" s="521" t="s">
        <v>23</v>
      </c>
      <c r="C3" s="521"/>
      <c r="D3" s="521"/>
      <c r="E3" s="521"/>
      <c r="F3" s="521"/>
      <c r="G3" s="521"/>
      <c r="H3" s="521"/>
      <c r="I3" s="521"/>
      <c r="J3" s="521"/>
      <c r="K3" s="521"/>
      <c r="L3" s="521"/>
      <c r="M3" s="521"/>
      <c r="N3" s="521"/>
      <c r="O3" s="521"/>
      <c r="P3" s="521"/>
      <c r="Q3" s="521"/>
      <c r="R3" s="521"/>
      <c r="S3" s="521"/>
      <c r="T3" s="521"/>
      <c r="U3" s="521"/>
    </row>
    <row r="4" spans="2:21" ht="16.5" x14ac:dyDescent="0.25">
      <c r="B4" s="521" t="s">
        <v>154</v>
      </c>
      <c r="C4" s="521"/>
      <c r="D4" s="521"/>
      <c r="E4" s="521"/>
      <c r="F4" s="521"/>
      <c r="G4" s="521"/>
      <c r="H4" s="521"/>
      <c r="I4" s="521"/>
      <c r="J4" s="521"/>
      <c r="K4" s="521"/>
      <c r="L4" s="521"/>
      <c r="M4" s="521"/>
      <c r="N4" s="521"/>
      <c r="O4" s="521"/>
      <c r="P4" s="521"/>
      <c r="Q4" s="521"/>
      <c r="R4" s="521"/>
      <c r="S4" s="521"/>
      <c r="T4" s="521"/>
      <c r="U4" s="521"/>
    </row>
    <row r="5" spans="2:21" ht="16.5" x14ac:dyDescent="0.25">
      <c r="B5" s="521" t="s">
        <v>155</v>
      </c>
      <c r="C5" s="521"/>
      <c r="D5" s="521"/>
      <c r="E5" s="521"/>
      <c r="F5" s="521"/>
      <c r="G5" s="521"/>
      <c r="H5" s="521"/>
      <c r="I5" s="521"/>
      <c r="J5" s="521"/>
      <c r="K5" s="521"/>
      <c r="L5" s="521"/>
      <c r="M5" s="521"/>
      <c r="N5" s="521"/>
      <c r="O5" s="521"/>
      <c r="P5" s="521"/>
      <c r="Q5" s="521"/>
      <c r="R5" s="521"/>
      <c r="S5" s="521"/>
      <c r="T5" s="521"/>
      <c r="U5" s="521"/>
    </row>
    <row r="6" spans="2:21" x14ac:dyDescent="0.25">
      <c r="B6" s="515" t="s">
        <v>3</v>
      </c>
      <c r="C6" s="515"/>
      <c r="D6" s="515"/>
      <c r="E6" s="515"/>
      <c r="F6" s="515"/>
      <c r="G6" s="515"/>
      <c r="H6" s="515"/>
      <c r="I6" s="515"/>
      <c r="J6" s="515"/>
      <c r="K6" s="84"/>
      <c r="L6" s="515" t="s">
        <v>32</v>
      </c>
      <c r="M6" s="515"/>
      <c r="N6" s="515"/>
      <c r="O6" s="515"/>
      <c r="P6" s="515"/>
      <c r="Q6" s="509" t="s">
        <v>4</v>
      </c>
      <c r="R6" s="509"/>
      <c r="S6" s="509"/>
      <c r="T6" s="509"/>
      <c r="U6" s="520" t="s">
        <v>40</v>
      </c>
    </row>
    <row r="7" spans="2:21" ht="42.75" customHeight="1" x14ac:dyDescent="0.25">
      <c r="B7" s="85" t="s">
        <v>51</v>
      </c>
      <c r="C7" s="85" t="s">
        <v>12</v>
      </c>
      <c r="D7" s="85" t="s">
        <v>52</v>
      </c>
      <c r="E7" s="85" t="s">
        <v>24</v>
      </c>
      <c r="F7" s="85" t="s">
        <v>25</v>
      </c>
      <c r="G7" s="85" t="s">
        <v>26</v>
      </c>
      <c r="H7" s="85" t="s">
        <v>27</v>
      </c>
      <c r="I7" s="85" t="s">
        <v>28</v>
      </c>
      <c r="J7" s="85" t="s">
        <v>29</v>
      </c>
      <c r="K7" s="85" t="s">
        <v>47</v>
      </c>
      <c r="L7" s="86" t="s">
        <v>14</v>
      </c>
      <c r="M7" s="86" t="s">
        <v>31</v>
      </c>
      <c r="N7" s="86" t="s">
        <v>15</v>
      </c>
      <c r="O7" s="86" t="s">
        <v>16</v>
      </c>
      <c r="P7" s="85" t="s">
        <v>48</v>
      </c>
      <c r="Q7" s="86" t="s">
        <v>17</v>
      </c>
      <c r="R7" s="86" t="s">
        <v>18</v>
      </c>
      <c r="S7" s="86" t="s">
        <v>19</v>
      </c>
      <c r="T7" s="198" t="s">
        <v>361</v>
      </c>
      <c r="U7" s="520"/>
    </row>
    <row r="8" spans="2:21" ht="27" x14ac:dyDescent="0.25">
      <c r="B8" s="777" t="s">
        <v>327</v>
      </c>
      <c r="C8" s="577" t="s">
        <v>328</v>
      </c>
      <c r="D8" s="59" t="s">
        <v>329</v>
      </c>
      <c r="E8" s="299">
        <v>1</v>
      </c>
      <c r="F8" s="156">
        <v>0</v>
      </c>
      <c r="G8" s="156">
        <v>0</v>
      </c>
      <c r="H8" s="156">
        <v>0</v>
      </c>
      <c r="I8" s="153">
        <f t="shared" ref="I8:I15" si="0">SUM(E8:H8)</f>
        <v>1</v>
      </c>
      <c r="J8" s="59" t="s">
        <v>322</v>
      </c>
      <c r="K8" s="500"/>
      <c r="L8" s="683">
        <v>1</v>
      </c>
      <c r="M8" s="500" t="s">
        <v>352</v>
      </c>
      <c r="N8" s="500" t="s">
        <v>345</v>
      </c>
      <c r="O8" s="776">
        <v>1</v>
      </c>
      <c r="P8" s="500" t="s">
        <v>164</v>
      </c>
      <c r="Q8" s="572">
        <f>R8+S8+T8</f>
        <v>3440615210</v>
      </c>
      <c r="R8" s="689">
        <f>3500000000-129384790-1100000000+370000000-300000000</f>
        <v>2340615210</v>
      </c>
      <c r="S8" s="689">
        <v>0</v>
      </c>
      <c r="T8" s="689">
        <v>1100000000</v>
      </c>
      <c r="U8" s="510">
        <v>0</v>
      </c>
    </row>
    <row r="9" spans="2:21" ht="33.6" customHeight="1" x14ac:dyDescent="0.25">
      <c r="B9" s="777"/>
      <c r="C9" s="577"/>
      <c r="D9" s="59" t="s">
        <v>330</v>
      </c>
      <c r="E9" s="154">
        <v>0</v>
      </c>
      <c r="F9" s="154">
        <v>2</v>
      </c>
      <c r="G9" s="154">
        <v>4</v>
      </c>
      <c r="H9" s="154">
        <v>2</v>
      </c>
      <c r="I9" s="150">
        <f t="shared" si="0"/>
        <v>8</v>
      </c>
      <c r="J9" s="59" t="s">
        <v>322</v>
      </c>
      <c r="K9" s="500"/>
      <c r="L9" s="683"/>
      <c r="M9" s="500"/>
      <c r="N9" s="500"/>
      <c r="O9" s="776"/>
      <c r="P9" s="500"/>
      <c r="Q9" s="572"/>
      <c r="R9" s="689"/>
      <c r="S9" s="689"/>
      <c r="T9" s="689"/>
      <c r="U9" s="510"/>
    </row>
    <row r="10" spans="2:21" ht="63" customHeight="1" x14ac:dyDescent="0.25">
      <c r="B10" s="777"/>
      <c r="C10" s="577" t="s">
        <v>331</v>
      </c>
      <c r="D10" s="60" t="s">
        <v>332</v>
      </c>
      <c r="E10" s="297">
        <v>1</v>
      </c>
      <c r="F10" s="157">
        <v>0</v>
      </c>
      <c r="G10" s="157">
        <v>0</v>
      </c>
      <c r="H10" s="157">
        <v>0</v>
      </c>
      <c r="I10" s="150">
        <f t="shared" si="0"/>
        <v>1</v>
      </c>
      <c r="J10" s="59" t="s">
        <v>322</v>
      </c>
      <c r="K10" s="488" t="s">
        <v>168</v>
      </c>
      <c r="L10" s="683">
        <v>2</v>
      </c>
      <c r="M10" s="577" t="s">
        <v>331</v>
      </c>
      <c r="N10" s="220" t="s">
        <v>383</v>
      </c>
      <c r="O10" s="158">
        <v>1</v>
      </c>
      <c r="P10" s="59" t="s">
        <v>164</v>
      </c>
      <c r="Q10" s="763">
        <f>R10+S10+T10</f>
        <v>620000000</v>
      </c>
      <c r="R10" s="690">
        <f>320000000+300000000</f>
        <v>620000000</v>
      </c>
      <c r="S10" s="690">
        <v>0</v>
      </c>
      <c r="T10" s="690">
        <v>0</v>
      </c>
      <c r="U10" s="583">
        <v>68360000</v>
      </c>
    </row>
    <row r="11" spans="2:21" ht="58.5" customHeight="1" x14ac:dyDescent="0.25">
      <c r="B11" s="777"/>
      <c r="C11" s="577"/>
      <c r="D11" s="59" t="s">
        <v>333</v>
      </c>
      <c r="E11" s="297">
        <v>720</v>
      </c>
      <c r="F11" s="56">
        <v>720</v>
      </c>
      <c r="G11" s="56">
        <v>720</v>
      </c>
      <c r="H11" s="56">
        <v>720</v>
      </c>
      <c r="I11" s="58">
        <f t="shared" si="0"/>
        <v>2880</v>
      </c>
      <c r="J11" s="59" t="s">
        <v>322</v>
      </c>
      <c r="K11" s="488"/>
      <c r="L11" s="683"/>
      <c r="M11" s="577"/>
      <c r="N11" s="59" t="s">
        <v>333</v>
      </c>
      <c r="O11" s="159">
        <v>720</v>
      </c>
      <c r="P11" s="59" t="s">
        <v>164</v>
      </c>
      <c r="Q11" s="764"/>
      <c r="R11" s="761"/>
      <c r="S11" s="761"/>
      <c r="T11" s="761"/>
      <c r="U11" s="774"/>
    </row>
    <row r="12" spans="2:21" ht="52.5" customHeight="1" x14ac:dyDescent="0.25">
      <c r="B12" s="777"/>
      <c r="C12" s="577"/>
      <c r="D12" s="500" t="s">
        <v>334</v>
      </c>
      <c r="E12" s="570">
        <v>2</v>
      </c>
      <c r="F12" s="570">
        <v>2</v>
      </c>
      <c r="G12" s="570">
        <v>2</v>
      </c>
      <c r="H12" s="570">
        <v>2</v>
      </c>
      <c r="I12" s="766">
        <f t="shared" si="0"/>
        <v>8</v>
      </c>
      <c r="J12" s="488" t="s">
        <v>322</v>
      </c>
      <c r="K12" s="488"/>
      <c r="L12" s="683"/>
      <c r="M12" s="577"/>
      <c r="N12" s="59" t="s">
        <v>334</v>
      </c>
      <c r="O12" s="158">
        <v>2</v>
      </c>
      <c r="P12" s="59" t="s">
        <v>164</v>
      </c>
      <c r="Q12" s="764"/>
      <c r="R12" s="761"/>
      <c r="S12" s="761"/>
      <c r="T12" s="761"/>
      <c r="U12" s="774"/>
    </row>
    <row r="13" spans="2:21" ht="52.5" customHeight="1" x14ac:dyDescent="0.25">
      <c r="B13" s="777"/>
      <c r="C13" s="577"/>
      <c r="D13" s="500"/>
      <c r="E13" s="570"/>
      <c r="F13" s="570"/>
      <c r="G13" s="570"/>
      <c r="H13" s="570"/>
      <c r="I13" s="766"/>
      <c r="J13" s="488"/>
      <c r="K13" s="488"/>
      <c r="L13" s="683"/>
      <c r="M13" s="577"/>
      <c r="N13" s="59" t="s">
        <v>368</v>
      </c>
      <c r="O13" s="211">
        <v>7</v>
      </c>
      <c r="P13" s="59" t="s">
        <v>164</v>
      </c>
      <c r="Q13" s="764"/>
      <c r="R13" s="761"/>
      <c r="S13" s="761"/>
      <c r="T13" s="761"/>
      <c r="U13" s="774"/>
    </row>
    <row r="14" spans="2:21" ht="66.75" customHeight="1" x14ac:dyDescent="0.25">
      <c r="B14" s="777"/>
      <c r="C14" s="577"/>
      <c r="D14" s="500"/>
      <c r="E14" s="570"/>
      <c r="F14" s="570"/>
      <c r="G14" s="570"/>
      <c r="H14" s="570"/>
      <c r="I14" s="766"/>
      <c r="J14" s="488"/>
      <c r="K14" s="488"/>
      <c r="L14" s="683"/>
      <c r="M14" s="577"/>
      <c r="N14" s="218" t="s">
        <v>384</v>
      </c>
      <c r="O14" s="211">
        <v>1</v>
      </c>
      <c r="P14" s="59" t="s">
        <v>164</v>
      </c>
      <c r="Q14" s="765"/>
      <c r="R14" s="691"/>
      <c r="S14" s="691"/>
      <c r="T14" s="691"/>
      <c r="U14" s="584"/>
    </row>
    <row r="15" spans="2:21" ht="50.25" customHeight="1" x14ac:dyDescent="0.25">
      <c r="B15" s="777"/>
      <c r="C15" s="577" t="s">
        <v>335</v>
      </c>
      <c r="D15" s="500" t="s">
        <v>336</v>
      </c>
      <c r="E15" s="762">
        <v>1</v>
      </c>
      <c r="F15" s="570">
        <v>0</v>
      </c>
      <c r="G15" s="570">
        <v>0</v>
      </c>
      <c r="H15" s="570">
        <v>0</v>
      </c>
      <c r="I15" s="766">
        <f t="shared" si="0"/>
        <v>1</v>
      </c>
      <c r="J15" s="488" t="s">
        <v>322</v>
      </c>
      <c r="K15" s="500" t="s">
        <v>168</v>
      </c>
      <c r="L15" s="683">
        <v>3</v>
      </c>
      <c r="M15" s="500" t="s">
        <v>366</v>
      </c>
      <c r="N15" s="59" t="s">
        <v>337</v>
      </c>
      <c r="O15" s="160">
        <v>0.95</v>
      </c>
      <c r="P15" s="59" t="s">
        <v>338</v>
      </c>
      <c r="Q15" s="572">
        <f>SUM(R15:T15)</f>
        <v>0</v>
      </c>
      <c r="R15" s="689">
        <v>0</v>
      </c>
      <c r="S15" s="689">
        <v>0</v>
      </c>
      <c r="T15" s="689">
        <v>0</v>
      </c>
      <c r="U15" s="689">
        <v>440000000</v>
      </c>
    </row>
    <row r="16" spans="2:21" ht="50.25" customHeight="1" x14ac:dyDescent="0.25">
      <c r="B16" s="777"/>
      <c r="C16" s="577"/>
      <c r="D16" s="500"/>
      <c r="E16" s="762"/>
      <c r="F16" s="570"/>
      <c r="G16" s="570"/>
      <c r="H16" s="570"/>
      <c r="I16" s="766"/>
      <c r="J16" s="488"/>
      <c r="K16" s="500"/>
      <c r="L16" s="683"/>
      <c r="M16" s="500"/>
      <c r="N16" s="59" t="s">
        <v>339</v>
      </c>
      <c r="O16" s="160">
        <v>1</v>
      </c>
      <c r="P16" s="59" t="s">
        <v>338</v>
      </c>
      <c r="Q16" s="572"/>
      <c r="R16" s="689"/>
      <c r="S16" s="689"/>
      <c r="T16" s="689"/>
      <c r="U16" s="689"/>
    </row>
    <row r="17" spans="2:22" ht="23.25" customHeight="1" x14ac:dyDescent="0.25">
      <c r="B17" s="777"/>
      <c r="C17" s="577"/>
      <c r="D17" s="500"/>
      <c r="E17" s="762"/>
      <c r="F17" s="570"/>
      <c r="G17" s="570"/>
      <c r="H17" s="570"/>
      <c r="I17" s="766"/>
      <c r="J17" s="488"/>
      <c r="K17" s="500"/>
      <c r="L17" s="683"/>
      <c r="M17" s="500"/>
      <c r="N17" s="490" t="s">
        <v>340</v>
      </c>
      <c r="O17" s="767">
        <v>1</v>
      </c>
      <c r="P17" s="502" t="s">
        <v>338</v>
      </c>
      <c r="Q17" s="572"/>
      <c r="R17" s="689"/>
      <c r="S17" s="689"/>
      <c r="T17" s="689"/>
      <c r="U17" s="689"/>
    </row>
    <row r="18" spans="2:22" ht="33.75" customHeight="1" x14ac:dyDescent="0.25">
      <c r="B18" s="777"/>
      <c r="C18" s="577"/>
      <c r="D18" s="59" t="s">
        <v>341</v>
      </c>
      <c r="E18" s="56">
        <v>1</v>
      </c>
      <c r="F18" s="202">
        <v>1</v>
      </c>
      <c r="G18" s="56">
        <v>1</v>
      </c>
      <c r="H18" s="56">
        <v>1</v>
      </c>
      <c r="I18" s="150">
        <f>SUM(E18:H18)</f>
        <v>4</v>
      </c>
      <c r="J18" s="59" t="s">
        <v>322</v>
      </c>
      <c r="K18" s="500"/>
      <c r="L18" s="683"/>
      <c r="M18" s="500"/>
      <c r="N18" s="491"/>
      <c r="O18" s="768"/>
      <c r="P18" s="503"/>
      <c r="Q18" s="572"/>
      <c r="R18" s="689"/>
      <c r="S18" s="689"/>
      <c r="T18" s="689"/>
      <c r="U18" s="689"/>
    </row>
    <row r="19" spans="2:22" ht="38.25" customHeight="1" x14ac:dyDescent="0.25">
      <c r="B19" s="777"/>
      <c r="C19" s="577"/>
      <c r="D19" s="60" t="s">
        <v>342</v>
      </c>
      <c r="E19" s="297">
        <v>1</v>
      </c>
      <c r="F19" s="56">
        <v>0</v>
      </c>
      <c r="G19" s="56">
        <v>0</v>
      </c>
      <c r="H19" s="56">
        <v>0</v>
      </c>
      <c r="I19" s="150">
        <f>SUM(E19:H19)</f>
        <v>1</v>
      </c>
      <c r="J19" s="59" t="s">
        <v>322</v>
      </c>
      <c r="K19" s="500"/>
      <c r="L19" s="683"/>
      <c r="M19" s="500"/>
      <c r="N19" s="493"/>
      <c r="O19" s="769"/>
      <c r="P19" s="504"/>
      <c r="Q19" s="572"/>
      <c r="R19" s="689"/>
      <c r="S19" s="689"/>
      <c r="T19" s="689"/>
      <c r="U19" s="689"/>
    </row>
    <row r="20" spans="2:22" ht="39.75" customHeight="1" x14ac:dyDescent="0.25">
      <c r="B20" s="777"/>
      <c r="C20" s="497" t="s">
        <v>343</v>
      </c>
      <c r="D20" s="71" t="s">
        <v>344</v>
      </c>
      <c r="E20" s="297">
        <v>1</v>
      </c>
      <c r="F20" s="56">
        <v>0</v>
      </c>
      <c r="G20" s="56">
        <v>0</v>
      </c>
      <c r="H20" s="56">
        <v>0</v>
      </c>
      <c r="I20" s="150">
        <v>1</v>
      </c>
      <c r="J20" s="76" t="s">
        <v>322</v>
      </c>
      <c r="K20" s="500" t="s">
        <v>168</v>
      </c>
      <c r="L20" s="683">
        <v>4</v>
      </c>
      <c r="M20" s="497" t="s">
        <v>363</v>
      </c>
      <c r="N20" s="680" t="s">
        <v>364</v>
      </c>
      <c r="O20" s="772">
        <v>1</v>
      </c>
      <c r="P20" s="770" t="s">
        <v>365</v>
      </c>
      <c r="Q20" s="771">
        <f>R20+S20+T20</f>
        <v>658663783</v>
      </c>
      <c r="R20" s="689">
        <v>658663783</v>
      </c>
      <c r="S20" s="689">
        <v>0</v>
      </c>
      <c r="T20" s="689">
        <v>0</v>
      </c>
      <c r="U20" s="689">
        <f>9591294166-53050000-8000000+9184900-19184000+2266887.65+1208079111-216462493-9438355-61000000-27000000-750005000</f>
        <v>9666685216.6499996</v>
      </c>
    </row>
    <row r="21" spans="2:22" ht="57.75" customHeight="1" x14ac:dyDescent="0.25">
      <c r="B21" s="777"/>
      <c r="C21" s="497"/>
      <c r="D21" s="68" t="s">
        <v>363</v>
      </c>
      <c r="E21" s="56">
        <v>1</v>
      </c>
      <c r="F21" s="202">
        <v>1</v>
      </c>
      <c r="G21" s="56">
        <v>1</v>
      </c>
      <c r="H21" s="56">
        <v>1</v>
      </c>
      <c r="I21" s="150">
        <v>4</v>
      </c>
      <c r="J21" s="76" t="s">
        <v>322</v>
      </c>
      <c r="K21" s="500"/>
      <c r="L21" s="683"/>
      <c r="M21" s="497"/>
      <c r="N21" s="682"/>
      <c r="O21" s="773"/>
      <c r="P21" s="770"/>
      <c r="Q21" s="771"/>
      <c r="R21" s="689"/>
      <c r="S21" s="689"/>
      <c r="T21" s="689"/>
      <c r="U21" s="689"/>
    </row>
    <row r="22" spans="2:22" ht="21.75" customHeight="1" x14ac:dyDescent="0.25">
      <c r="B22" s="756" t="s">
        <v>53</v>
      </c>
      <c r="C22" s="756"/>
      <c r="D22" s="756"/>
      <c r="E22" s="756"/>
      <c r="F22" s="756"/>
      <c r="G22" s="756"/>
      <c r="H22" s="756"/>
      <c r="I22" s="756"/>
      <c r="J22" s="756"/>
      <c r="K22" s="756"/>
      <c r="L22" s="756"/>
      <c r="M22" s="756"/>
      <c r="N22" s="756"/>
      <c r="O22" s="756"/>
      <c r="P22" s="756"/>
      <c r="Q22" s="175">
        <f>Q20+Q15+Q10+Q8</f>
        <v>4719278993</v>
      </c>
      <c r="R22" s="175">
        <f>R20+R15+R10+R8</f>
        <v>3619278993</v>
      </c>
      <c r="S22" s="175">
        <f>SUBTOTAL(9,S8:S21)</f>
        <v>0</v>
      </c>
      <c r="T22" s="175">
        <f>SUBTOTAL(9,T8:T21)</f>
        <v>1100000000</v>
      </c>
      <c r="U22" s="175">
        <f>U20+U15+U10+U8</f>
        <v>10175045216.65</v>
      </c>
      <c r="V22" s="166"/>
    </row>
    <row r="23" spans="2:22" x14ac:dyDescent="0.25">
      <c r="Q23" s="166"/>
      <c r="R23" s="166"/>
      <c r="S23" s="166"/>
      <c r="T23" s="166"/>
      <c r="U23" s="166"/>
      <c r="V23" s="167"/>
    </row>
    <row r="24" spans="2:22" ht="120" x14ac:dyDescent="0.25">
      <c r="B24" s="300" t="s">
        <v>393</v>
      </c>
      <c r="Q24" s="319" t="s">
        <v>404</v>
      </c>
      <c r="R24" s="319" t="s">
        <v>406</v>
      </c>
      <c r="S24" s="166"/>
      <c r="T24" s="319" t="s">
        <v>405</v>
      </c>
      <c r="U24" s="166"/>
    </row>
    <row r="26" spans="2:22" x14ac:dyDescent="0.25">
      <c r="M26" s="207"/>
      <c r="N26" s="201"/>
      <c r="P26" s="201"/>
      <c r="Q26" s="320"/>
      <c r="R26" s="166"/>
    </row>
    <row r="27" spans="2:22" x14ac:dyDescent="0.25">
      <c r="M27" s="207"/>
    </row>
    <row r="28" spans="2:22" x14ac:dyDescent="0.25">
      <c r="M28" s="207"/>
    </row>
    <row r="29" spans="2:22" x14ac:dyDescent="0.25">
      <c r="M29" s="207"/>
    </row>
    <row r="30" spans="2:22" x14ac:dyDescent="0.25">
      <c r="M30" s="207"/>
    </row>
    <row r="31" spans="2:22" x14ac:dyDescent="0.25">
      <c r="M31" s="208"/>
    </row>
  </sheetData>
  <mergeCells count="70">
    <mergeCell ref="U15:U19"/>
    <mergeCell ref="L15:L19"/>
    <mergeCell ref="M1:U1"/>
    <mergeCell ref="M2:U2"/>
    <mergeCell ref="U8:U9"/>
    <mergeCell ref="O8:O9"/>
    <mergeCell ref="P8:P9"/>
    <mergeCell ref="R8:R9"/>
    <mergeCell ref="T8:T9"/>
    <mergeCell ref="B3:U3"/>
    <mergeCell ref="B4:U4"/>
    <mergeCell ref="B5:U5"/>
    <mergeCell ref="L8:L9"/>
    <mergeCell ref="M8:M9"/>
    <mergeCell ref="U6:U7"/>
    <mergeCell ref="B8:B21"/>
    <mergeCell ref="Q6:T6"/>
    <mergeCell ref="N8:N9"/>
    <mergeCell ref="C15:C19"/>
    <mergeCell ref="N17:N19"/>
    <mergeCell ref="U20:U21"/>
    <mergeCell ref="Q20:Q21"/>
    <mergeCell ref="O20:O21"/>
    <mergeCell ref="R20:R21"/>
    <mergeCell ref="T10:T14"/>
    <mergeCell ref="U10:U14"/>
    <mergeCell ref="Q15:Q19"/>
    <mergeCell ref="R15:R19"/>
    <mergeCell ref="S15:S19"/>
    <mergeCell ref="T15:T19"/>
    <mergeCell ref="S20:S21"/>
    <mergeCell ref="T20:T21"/>
    <mergeCell ref="B22:P22"/>
    <mergeCell ref="L10:L14"/>
    <mergeCell ref="K10:K14"/>
    <mergeCell ref="J12:J14"/>
    <mergeCell ref="I12:I14"/>
    <mergeCell ref="H12:H14"/>
    <mergeCell ref="G12:G14"/>
    <mergeCell ref="F12:F14"/>
    <mergeCell ref="E12:E14"/>
    <mergeCell ref="N20:N21"/>
    <mergeCell ref="P20:P21"/>
    <mergeCell ref="C20:C21"/>
    <mergeCell ref="K20:K21"/>
    <mergeCell ref="L20:L21"/>
    <mergeCell ref="M20:M21"/>
    <mergeCell ref="M10:M14"/>
    <mergeCell ref="S10:S14"/>
    <mergeCell ref="B6:J6"/>
    <mergeCell ref="L6:P6"/>
    <mergeCell ref="E15:E17"/>
    <mergeCell ref="F15:F17"/>
    <mergeCell ref="Q10:Q14"/>
    <mergeCell ref="S8:S9"/>
    <mergeCell ref="Q8:Q9"/>
    <mergeCell ref="D12:D14"/>
    <mergeCell ref="G15:G17"/>
    <mergeCell ref="R10:R14"/>
    <mergeCell ref="I15:I17"/>
    <mergeCell ref="J15:J17"/>
    <mergeCell ref="K15:K19"/>
    <mergeCell ref="O17:O19"/>
    <mergeCell ref="P17:P19"/>
    <mergeCell ref="C8:C9"/>
    <mergeCell ref="K8:K9"/>
    <mergeCell ref="D15:D17"/>
    <mergeCell ref="M15:M19"/>
    <mergeCell ref="H15:H17"/>
    <mergeCell ref="C10:C14"/>
  </mergeCells>
  <conditionalFormatting sqref="E9:H9">
    <cfRule type="expression" dxfId="7" priority="3" stopIfTrue="1">
      <formula>+IF((#REF!+#REF!+#REF!+#REF!+#REF!)&lt;&gt;$E9,1,0)</formula>
    </cfRule>
  </conditionalFormatting>
  <conditionalFormatting sqref="F11:H11">
    <cfRule type="expression" dxfId="6" priority="1" stopIfTrue="1">
      <formula>+IF((#REF!+#REF!+#REF!+#REF!+#REF!)&lt;&gt;$E11,1,0)</formula>
    </cfRule>
  </conditionalFormatting>
  <conditionalFormatting sqref="E10:H12">
    <cfRule type="expression" dxfId="5" priority="2" stopIfTrue="1">
      <formula>+IF((#REF!+#REF!+#REF!+#REF!+#REF!)&lt;&gt;$E10,1,0)</formula>
    </cfRule>
  </conditionalFormatting>
  <dataValidations count="6">
    <dataValidation type="list" allowBlank="1" showInputMessage="1" showErrorMessage="1" sqref="P8 P20 P11:P17">
      <formula1>#REF!</formula1>
    </dataValidation>
    <dataValidation type="list" allowBlank="1" showInputMessage="1" showErrorMessage="1" sqref="K15">
      <formula1>$B$26:$B$26</formula1>
    </dataValidation>
    <dataValidation type="list" allowBlank="1" showInputMessage="1" showErrorMessage="1" sqref="J8:J9 J15 J18:J21">
      <formula1>$N$25:$N$26</formula1>
    </dataValidation>
    <dataValidation type="list" allowBlank="1" showInputMessage="1" showErrorMessage="1" sqref="J10:J12">
      <formula1>$N$26:$N$26</formula1>
    </dataValidation>
    <dataValidation type="list" allowBlank="1" showInputMessage="1" showErrorMessage="1" sqref="P10">
      <formula1>#REF!</formula1>
    </dataValidation>
    <dataValidation type="list" allowBlank="1" showInputMessage="1" showErrorMessage="1" sqref="K10 K8">
      <formula1>#REF!</formula1>
    </dataValidation>
  </dataValidations>
  <pageMargins left="0.7" right="0.7" top="0.75" bottom="0.75" header="0.3" footer="0.3"/>
  <pageSetup orientation="portrait" r:id="rId1"/>
  <ignoredErrors>
    <ignoredError sqref="I8 Q10:R10 Q8:R8 Q20" unlockedFormula="1"/>
    <ignoredError sqref="Q15" formulaRange="1" unlocked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Z27"/>
  <sheetViews>
    <sheetView topLeftCell="V1" zoomScale="80" zoomScaleNormal="80" workbookViewId="0">
      <selection activeCell="W5" sqref="W5:Y5"/>
    </sheetView>
  </sheetViews>
  <sheetFormatPr baseColWidth="10" defaultRowHeight="15" x14ac:dyDescent="0.25"/>
  <cols>
    <col min="2" max="2" width="20.140625" customWidth="1"/>
    <col min="3" max="3" width="20.5703125" customWidth="1"/>
    <col min="4" max="4" width="22.42578125" customWidth="1"/>
    <col min="5" max="5" width="5.42578125" customWidth="1"/>
    <col min="6" max="6" width="4.7109375" customWidth="1"/>
    <col min="7" max="7" width="5" customWidth="1"/>
    <col min="8" max="8" width="5.140625" customWidth="1"/>
    <col min="9" max="9" width="10.140625" customWidth="1"/>
    <col min="11" max="11" width="20.140625" customWidth="1"/>
    <col min="12" max="12" width="5.85546875" customWidth="1"/>
    <col min="13" max="13" width="25.28515625" customWidth="1"/>
    <col min="14" max="14" width="20.140625" customWidth="1"/>
    <col min="15" max="15" width="8.7109375" customWidth="1"/>
    <col min="16" max="16" width="29.28515625" customWidth="1"/>
    <col min="17" max="17" width="22.28515625" customWidth="1"/>
    <col min="18" max="18" width="23" customWidth="1"/>
    <col min="19" max="19" width="15.140625" customWidth="1"/>
    <col min="20" max="20" width="22.42578125" bestFit="1" customWidth="1"/>
    <col min="21" max="21" width="22.140625" bestFit="1" customWidth="1"/>
    <col min="22" max="22" width="75" customWidth="1"/>
    <col min="23" max="24" width="60.7109375" customWidth="1"/>
    <col min="25" max="25" width="70.7109375" customWidth="1"/>
    <col min="26" max="26" width="44.85546875" customWidth="1"/>
  </cols>
  <sheetData>
    <row r="1" spans="2:26" ht="50.25" customHeight="1" x14ac:dyDescent="0.25">
      <c r="M1" s="581" t="s">
        <v>0</v>
      </c>
      <c r="N1" s="581"/>
      <c r="O1" s="581"/>
      <c r="P1" s="581"/>
      <c r="Q1" s="581"/>
      <c r="R1" s="581"/>
      <c r="S1" s="581"/>
      <c r="T1" s="581"/>
      <c r="U1" s="581"/>
    </row>
    <row r="2" spans="2:26" ht="24" customHeight="1" x14ac:dyDescent="0.25">
      <c r="M2" s="775" t="s">
        <v>346</v>
      </c>
      <c r="N2" s="775"/>
      <c r="O2" s="775"/>
      <c r="P2" s="775"/>
      <c r="Q2" s="775"/>
      <c r="R2" s="775"/>
      <c r="S2" s="775"/>
      <c r="T2" s="775"/>
      <c r="U2" s="775"/>
    </row>
    <row r="3" spans="2:26" x14ac:dyDescent="0.25">
      <c r="B3" s="808" t="s">
        <v>23</v>
      </c>
      <c r="C3" s="808"/>
      <c r="D3" s="808"/>
      <c r="E3" s="808"/>
      <c r="F3" s="808"/>
      <c r="G3" s="808"/>
      <c r="H3" s="808"/>
      <c r="I3" s="808"/>
      <c r="J3" s="808"/>
      <c r="K3" s="808"/>
      <c r="L3" s="808"/>
      <c r="M3" s="808"/>
      <c r="N3" s="808"/>
      <c r="O3" s="808"/>
      <c r="P3" s="808"/>
      <c r="Q3" s="808"/>
      <c r="R3" s="808"/>
      <c r="S3" s="808"/>
      <c r="T3" s="808"/>
      <c r="U3" s="808"/>
      <c r="V3" s="90"/>
      <c r="W3" s="90"/>
      <c r="X3" s="90"/>
      <c r="Y3" s="90"/>
      <c r="Z3" s="90"/>
    </row>
    <row r="4" spans="2:26" x14ac:dyDescent="0.25">
      <c r="B4" s="808" t="s">
        <v>154</v>
      </c>
      <c r="C4" s="808"/>
      <c r="D4" s="808"/>
      <c r="E4" s="808"/>
      <c r="F4" s="808"/>
      <c r="G4" s="808"/>
      <c r="H4" s="808"/>
      <c r="I4" s="808"/>
      <c r="J4" s="808"/>
      <c r="K4" s="808"/>
      <c r="L4" s="808"/>
      <c r="M4" s="808"/>
      <c r="N4" s="808"/>
      <c r="O4" s="808"/>
      <c r="P4" s="808"/>
      <c r="Q4" s="808"/>
      <c r="R4" s="808"/>
      <c r="S4" s="808"/>
      <c r="T4" s="808"/>
      <c r="U4" s="808"/>
      <c r="V4" s="90"/>
      <c r="W4" s="90"/>
      <c r="X4" s="90"/>
      <c r="Y4" s="90"/>
      <c r="Z4" s="90"/>
    </row>
    <row r="5" spans="2:26" x14ac:dyDescent="0.25">
      <c r="B5" s="808" t="s">
        <v>155</v>
      </c>
      <c r="C5" s="808"/>
      <c r="D5" s="808"/>
      <c r="E5" s="808"/>
      <c r="F5" s="808"/>
      <c r="G5" s="808"/>
      <c r="H5" s="808"/>
      <c r="I5" s="808"/>
      <c r="J5" s="808"/>
      <c r="K5" s="808"/>
      <c r="L5" s="808"/>
      <c r="M5" s="808"/>
      <c r="N5" s="808"/>
      <c r="O5" s="808"/>
      <c r="P5" s="808"/>
      <c r="Q5" s="808"/>
      <c r="R5" s="808"/>
      <c r="S5" s="808"/>
      <c r="T5" s="808"/>
      <c r="U5" s="808"/>
      <c r="V5" s="90"/>
      <c r="W5" s="812" t="s">
        <v>413</v>
      </c>
      <c r="X5" s="812"/>
      <c r="Y5" s="812"/>
      <c r="Z5" s="90"/>
    </row>
    <row r="6" spans="2:26" ht="15.75" x14ac:dyDescent="0.25">
      <c r="B6" s="809" t="s">
        <v>3</v>
      </c>
      <c r="C6" s="809"/>
      <c r="D6" s="809"/>
      <c r="E6" s="809"/>
      <c r="F6" s="809"/>
      <c r="G6" s="809"/>
      <c r="H6" s="809"/>
      <c r="I6" s="809"/>
      <c r="J6" s="809"/>
      <c r="K6" s="435"/>
      <c r="L6" s="809" t="s">
        <v>32</v>
      </c>
      <c r="M6" s="809"/>
      <c r="N6" s="809"/>
      <c r="O6" s="809"/>
      <c r="P6" s="809"/>
      <c r="Q6" s="810" t="s">
        <v>4</v>
      </c>
      <c r="R6" s="810"/>
      <c r="S6" s="810"/>
      <c r="T6" s="810"/>
      <c r="U6" s="811" t="s">
        <v>40</v>
      </c>
      <c r="V6" s="90"/>
      <c r="W6" s="553" t="s">
        <v>410</v>
      </c>
      <c r="X6" s="554"/>
      <c r="Y6" s="813" t="s">
        <v>445</v>
      </c>
      <c r="Z6" s="90"/>
    </row>
    <row r="7" spans="2:26" ht="46.5" customHeight="1" x14ac:dyDescent="0.25">
      <c r="B7" s="436" t="s">
        <v>51</v>
      </c>
      <c r="C7" s="436" t="s">
        <v>12</v>
      </c>
      <c r="D7" s="436" t="s">
        <v>52</v>
      </c>
      <c r="E7" s="436" t="s">
        <v>24</v>
      </c>
      <c r="F7" s="436" t="s">
        <v>25</v>
      </c>
      <c r="G7" s="436" t="s">
        <v>26</v>
      </c>
      <c r="H7" s="436" t="s">
        <v>27</v>
      </c>
      <c r="I7" s="436" t="s">
        <v>28</v>
      </c>
      <c r="J7" s="436" t="s">
        <v>29</v>
      </c>
      <c r="K7" s="436" t="s">
        <v>47</v>
      </c>
      <c r="L7" s="434" t="s">
        <v>14</v>
      </c>
      <c r="M7" s="434" t="s">
        <v>31</v>
      </c>
      <c r="N7" s="434" t="s">
        <v>15</v>
      </c>
      <c r="O7" s="434" t="s">
        <v>16</v>
      </c>
      <c r="P7" s="436" t="s">
        <v>48</v>
      </c>
      <c r="Q7" s="434" t="s">
        <v>17</v>
      </c>
      <c r="R7" s="434" t="s">
        <v>18</v>
      </c>
      <c r="S7" s="434" t="s">
        <v>19</v>
      </c>
      <c r="T7" s="434" t="s">
        <v>361</v>
      </c>
      <c r="U7" s="811"/>
      <c r="V7" s="433" t="s">
        <v>426</v>
      </c>
      <c r="W7" s="469" t="s">
        <v>408</v>
      </c>
      <c r="X7" s="469" t="s">
        <v>409</v>
      </c>
      <c r="Y7" s="814"/>
      <c r="Z7" s="90"/>
    </row>
    <row r="8" spans="2:26" ht="137.25" customHeight="1" x14ac:dyDescent="0.25">
      <c r="B8" s="783" t="s">
        <v>327</v>
      </c>
      <c r="C8" s="784" t="s">
        <v>328</v>
      </c>
      <c r="D8" s="437" t="s">
        <v>329</v>
      </c>
      <c r="E8" s="438">
        <v>1</v>
      </c>
      <c r="F8" s="439">
        <v>0</v>
      </c>
      <c r="G8" s="439">
        <v>0</v>
      </c>
      <c r="H8" s="439">
        <v>0</v>
      </c>
      <c r="I8" s="440">
        <f t="shared" ref="I8:I15" si="0">SUM(E8:H8)</f>
        <v>1</v>
      </c>
      <c r="J8" s="437" t="s">
        <v>322</v>
      </c>
      <c r="K8" s="785"/>
      <c r="L8" s="786">
        <v>1</v>
      </c>
      <c r="M8" s="785" t="s">
        <v>545</v>
      </c>
      <c r="N8" s="785" t="s">
        <v>546</v>
      </c>
      <c r="O8" s="806">
        <v>1</v>
      </c>
      <c r="P8" s="785" t="s">
        <v>164</v>
      </c>
      <c r="Q8" s="807">
        <f>R8+S8+T8</f>
        <v>3440615210</v>
      </c>
      <c r="R8" s="782">
        <f>3500000000-129384790-1100000000+370000000-300000000</f>
        <v>2340615210</v>
      </c>
      <c r="S8" s="782">
        <v>0</v>
      </c>
      <c r="T8" s="782">
        <v>1100000000</v>
      </c>
      <c r="U8" s="796">
        <v>0</v>
      </c>
      <c r="V8" s="778" t="s">
        <v>552</v>
      </c>
      <c r="W8" s="548" t="s">
        <v>561</v>
      </c>
      <c r="X8" s="548" t="s">
        <v>560</v>
      </c>
      <c r="Y8" s="548" t="s">
        <v>619</v>
      </c>
      <c r="Z8" s="541" t="s">
        <v>553</v>
      </c>
    </row>
    <row r="9" spans="2:26" ht="174.75" customHeight="1" x14ac:dyDescent="0.25">
      <c r="B9" s="783"/>
      <c r="C9" s="784"/>
      <c r="D9" s="437" t="s">
        <v>330</v>
      </c>
      <c r="E9" s="441">
        <v>0</v>
      </c>
      <c r="F9" s="441">
        <v>2</v>
      </c>
      <c r="G9" s="441">
        <v>4</v>
      </c>
      <c r="H9" s="441">
        <v>2</v>
      </c>
      <c r="I9" s="442">
        <f t="shared" si="0"/>
        <v>8</v>
      </c>
      <c r="J9" s="437" t="s">
        <v>322</v>
      </c>
      <c r="K9" s="785"/>
      <c r="L9" s="786"/>
      <c r="M9" s="785"/>
      <c r="N9" s="785"/>
      <c r="O9" s="806"/>
      <c r="P9" s="785"/>
      <c r="Q9" s="807"/>
      <c r="R9" s="782"/>
      <c r="S9" s="782"/>
      <c r="T9" s="782"/>
      <c r="U9" s="796"/>
      <c r="V9" s="778"/>
      <c r="W9" s="548"/>
      <c r="X9" s="548"/>
      <c r="Y9" s="548"/>
      <c r="Z9" s="541"/>
    </row>
    <row r="10" spans="2:26" ht="197.25" customHeight="1" x14ac:dyDescent="0.25">
      <c r="B10" s="783"/>
      <c r="C10" s="784" t="s">
        <v>331</v>
      </c>
      <c r="D10" s="443" t="s">
        <v>332</v>
      </c>
      <c r="E10" s="444">
        <v>1</v>
      </c>
      <c r="F10" s="445">
        <v>0</v>
      </c>
      <c r="G10" s="445">
        <v>0</v>
      </c>
      <c r="H10" s="445">
        <v>0</v>
      </c>
      <c r="I10" s="442">
        <f t="shared" si="0"/>
        <v>1</v>
      </c>
      <c r="J10" s="437" t="s">
        <v>322</v>
      </c>
      <c r="K10" s="794" t="s">
        <v>168</v>
      </c>
      <c r="L10" s="786">
        <v>2</v>
      </c>
      <c r="M10" s="784" t="s">
        <v>331</v>
      </c>
      <c r="N10" s="446" t="s">
        <v>383</v>
      </c>
      <c r="O10" s="447">
        <v>1</v>
      </c>
      <c r="P10" s="437" t="s">
        <v>164</v>
      </c>
      <c r="Q10" s="797">
        <f>R10+S10+T10</f>
        <v>620000000</v>
      </c>
      <c r="R10" s="800">
        <f>320000000+300000000</f>
        <v>620000000</v>
      </c>
      <c r="S10" s="800">
        <v>0</v>
      </c>
      <c r="T10" s="800">
        <v>0</v>
      </c>
      <c r="U10" s="803">
        <v>68360000</v>
      </c>
      <c r="V10" s="362" t="s">
        <v>557</v>
      </c>
      <c r="W10" s="464" t="s">
        <v>558</v>
      </c>
      <c r="X10" s="468" t="s">
        <v>570</v>
      </c>
      <c r="Y10" s="464" t="s">
        <v>620</v>
      </c>
      <c r="Z10" s="379" t="s">
        <v>569</v>
      </c>
    </row>
    <row r="11" spans="2:26" ht="84" customHeight="1" x14ac:dyDescent="0.25">
      <c r="B11" s="783"/>
      <c r="C11" s="784"/>
      <c r="D11" s="437" t="s">
        <v>333</v>
      </c>
      <c r="E11" s="444">
        <v>720</v>
      </c>
      <c r="F11" s="448">
        <v>720</v>
      </c>
      <c r="G11" s="448">
        <v>720</v>
      </c>
      <c r="H11" s="448">
        <v>720</v>
      </c>
      <c r="I11" s="449">
        <f t="shared" si="0"/>
        <v>2880</v>
      </c>
      <c r="J11" s="437" t="s">
        <v>322</v>
      </c>
      <c r="K11" s="794"/>
      <c r="L11" s="786"/>
      <c r="M11" s="784"/>
      <c r="N11" s="437" t="s">
        <v>333</v>
      </c>
      <c r="O11" s="450">
        <v>720</v>
      </c>
      <c r="P11" s="437" t="s">
        <v>164</v>
      </c>
      <c r="Q11" s="798"/>
      <c r="R11" s="801"/>
      <c r="S11" s="801"/>
      <c r="T11" s="801"/>
      <c r="U11" s="804"/>
      <c r="V11" s="362" t="s">
        <v>550</v>
      </c>
      <c r="W11" s="465" t="s">
        <v>559</v>
      </c>
      <c r="X11" s="465" t="s">
        <v>562</v>
      </c>
      <c r="Y11" s="464" t="s">
        <v>571</v>
      </c>
      <c r="Z11" s="379"/>
    </row>
    <row r="12" spans="2:26" ht="40.5" customHeight="1" x14ac:dyDescent="0.25">
      <c r="B12" s="783"/>
      <c r="C12" s="784"/>
      <c r="D12" s="785" t="s">
        <v>334</v>
      </c>
      <c r="E12" s="787">
        <v>2</v>
      </c>
      <c r="F12" s="787">
        <v>2</v>
      </c>
      <c r="G12" s="787">
        <v>2</v>
      </c>
      <c r="H12" s="787">
        <v>2</v>
      </c>
      <c r="I12" s="788">
        <f t="shared" si="0"/>
        <v>8</v>
      </c>
      <c r="J12" s="794" t="s">
        <v>322</v>
      </c>
      <c r="K12" s="794"/>
      <c r="L12" s="786"/>
      <c r="M12" s="784"/>
      <c r="N12" s="437" t="s">
        <v>334</v>
      </c>
      <c r="O12" s="447">
        <v>2</v>
      </c>
      <c r="P12" s="437" t="s">
        <v>164</v>
      </c>
      <c r="Q12" s="798"/>
      <c r="R12" s="801"/>
      <c r="S12" s="801"/>
      <c r="T12" s="801"/>
      <c r="U12" s="804"/>
      <c r="V12" s="362" t="s">
        <v>547</v>
      </c>
      <c r="W12" s="465" t="s">
        <v>622</v>
      </c>
      <c r="X12" s="465"/>
      <c r="Y12" s="465" t="s">
        <v>621</v>
      </c>
      <c r="Z12" s="462"/>
    </row>
    <row r="13" spans="2:26" ht="60" customHeight="1" x14ac:dyDescent="0.25">
      <c r="B13" s="783"/>
      <c r="C13" s="784"/>
      <c r="D13" s="785"/>
      <c r="E13" s="787"/>
      <c r="F13" s="787"/>
      <c r="G13" s="787"/>
      <c r="H13" s="787"/>
      <c r="I13" s="788"/>
      <c r="J13" s="794"/>
      <c r="K13" s="794"/>
      <c r="L13" s="786"/>
      <c r="M13" s="784"/>
      <c r="N13" s="437" t="s">
        <v>368</v>
      </c>
      <c r="O13" s="451">
        <v>7</v>
      </c>
      <c r="P13" s="437" t="s">
        <v>164</v>
      </c>
      <c r="Q13" s="798"/>
      <c r="R13" s="801"/>
      <c r="S13" s="801"/>
      <c r="T13" s="801"/>
      <c r="U13" s="804"/>
      <c r="V13" s="362" t="s">
        <v>549</v>
      </c>
      <c r="W13" s="465" t="s">
        <v>564</v>
      </c>
      <c r="X13" s="465" t="s">
        <v>567</v>
      </c>
      <c r="Y13" s="465" t="s">
        <v>563</v>
      </c>
      <c r="Z13" s="462"/>
    </row>
    <row r="14" spans="2:26" ht="133.5" customHeight="1" x14ac:dyDescent="0.25">
      <c r="B14" s="783"/>
      <c r="C14" s="784"/>
      <c r="D14" s="785"/>
      <c r="E14" s="787"/>
      <c r="F14" s="787"/>
      <c r="G14" s="787"/>
      <c r="H14" s="787"/>
      <c r="I14" s="788"/>
      <c r="J14" s="794"/>
      <c r="K14" s="794"/>
      <c r="L14" s="786"/>
      <c r="M14" s="784"/>
      <c r="N14" s="452" t="s">
        <v>384</v>
      </c>
      <c r="O14" s="451">
        <v>1</v>
      </c>
      <c r="P14" s="437" t="s">
        <v>164</v>
      </c>
      <c r="Q14" s="799"/>
      <c r="R14" s="802"/>
      <c r="S14" s="802"/>
      <c r="T14" s="802"/>
      <c r="U14" s="805"/>
      <c r="V14" s="362" t="s">
        <v>548</v>
      </c>
      <c r="W14" s="465" t="s">
        <v>565</v>
      </c>
      <c r="X14" s="465" t="s">
        <v>568</v>
      </c>
      <c r="Y14" s="465" t="s">
        <v>566</v>
      </c>
      <c r="Z14" s="462"/>
    </row>
    <row r="15" spans="2:26" ht="171.75" customHeight="1" x14ac:dyDescent="0.25">
      <c r="B15" s="783"/>
      <c r="C15" s="784" t="s">
        <v>335</v>
      </c>
      <c r="D15" s="785" t="s">
        <v>336</v>
      </c>
      <c r="E15" s="795">
        <v>1</v>
      </c>
      <c r="F15" s="787">
        <v>0</v>
      </c>
      <c r="G15" s="787">
        <v>0</v>
      </c>
      <c r="H15" s="787">
        <v>0</v>
      </c>
      <c r="I15" s="788">
        <f t="shared" si="0"/>
        <v>1</v>
      </c>
      <c r="J15" s="794" t="s">
        <v>322</v>
      </c>
      <c r="K15" s="785" t="s">
        <v>168</v>
      </c>
      <c r="L15" s="786">
        <v>3</v>
      </c>
      <c r="M15" s="785" t="s">
        <v>366</v>
      </c>
      <c r="N15" s="437" t="s">
        <v>337</v>
      </c>
      <c r="O15" s="453">
        <v>0.95</v>
      </c>
      <c r="P15" s="437" t="s">
        <v>338</v>
      </c>
      <c r="Q15" s="807">
        <f>SUM(R15:T15)</f>
        <v>0</v>
      </c>
      <c r="R15" s="782">
        <v>0</v>
      </c>
      <c r="S15" s="782">
        <v>0</v>
      </c>
      <c r="T15" s="782">
        <v>0</v>
      </c>
      <c r="U15" s="782">
        <v>440000000</v>
      </c>
      <c r="V15" s="362" t="s">
        <v>572</v>
      </c>
      <c r="W15" s="464" t="s">
        <v>575</v>
      </c>
      <c r="X15" s="464" t="s">
        <v>623</v>
      </c>
      <c r="Y15" s="548" t="s">
        <v>578</v>
      </c>
      <c r="Z15" s="541" t="s">
        <v>602</v>
      </c>
    </row>
    <row r="16" spans="2:26" ht="129" customHeight="1" x14ac:dyDescent="0.25">
      <c r="B16" s="783"/>
      <c r="C16" s="784"/>
      <c r="D16" s="785"/>
      <c r="E16" s="795"/>
      <c r="F16" s="787"/>
      <c r="G16" s="787"/>
      <c r="H16" s="787"/>
      <c r="I16" s="788"/>
      <c r="J16" s="794"/>
      <c r="K16" s="785"/>
      <c r="L16" s="786"/>
      <c r="M16" s="785"/>
      <c r="N16" s="437" t="s">
        <v>339</v>
      </c>
      <c r="O16" s="453">
        <v>1</v>
      </c>
      <c r="P16" s="437" t="s">
        <v>338</v>
      </c>
      <c r="Q16" s="807"/>
      <c r="R16" s="782"/>
      <c r="S16" s="782"/>
      <c r="T16" s="782"/>
      <c r="U16" s="782"/>
      <c r="V16" s="362" t="s">
        <v>573</v>
      </c>
      <c r="W16" s="464" t="s">
        <v>576</v>
      </c>
      <c r="X16" s="464" t="s">
        <v>624</v>
      </c>
      <c r="Y16" s="548"/>
      <c r="Z16" s="541"/>
    </row>
    <row r="17" spans="2:26" ht="86.25" customHeight="1" x14ac:dyDescent="0.25">
      <c r="B17" s="783"/>
      <c r="C17" s="784"/>
      <c r="D17" s="785"/>
      <c r="E17" s="795"/>
      <c r="F17" s="787"/>
      <c r="G17" s="787"/>
      <c r="H17" s="787"/>
      <c r="I17" s="788"/>
      <c r="J17" s="794"/>
      <c r="K17" s="785"/>
      <c r="L17" s="786"/>
      <c r="M17" s="785"/>
      <c r="N17" s="818" t="s">
        <v>340</v>
      </c>
      <c r="O17" s="821">
        <v>1</v>
      </c>
      <c r="P17" s="824" t="s">
        <v>338</v>
      </c>
      <c r="Q17" s="807"/>
      <c r="R17" s="782"/>
      <c r="S17" s="782"/>
      <c r="T17" s="782"/>
      <c r="U17" s="782"/>
      <c r="V17" s="815" t="s">
        <v>574</v>
      </c>
      <c r="W17" s="548" t="s">
        <v>577</v>
      </c>
      <c r="X17" s="548" t="s">
        <v>625</v>
      </c>
      <c r="Y17" s="548"/>
      <c r="Z17" s="541"/>
    </row>
    <row r="18" spans="2:26" ht="72" customHeight="1" x14ac:dyDescent="0.25">
      <c r="B18" s="783"/>
      <c r="C18" s="784"/>
      <c r="D18" s="437" t="s">
        <v>341</v>
      </c>
      <c r="E18" s="448">
        <v>1</v>
      </c>
      <c r="F18" s="454">
        <v>1</v>
      </c>
      <c r="G18" s="448">
        <v>1</v>
      </c>
      <c r="H18" s="448">
        <v>1</v>
      </c>
      <c r="I18" s="442">
        <f>SUM(E18:H18)</f>
        <v>4</v>
      </c>
      <c r="J18" s="437" t="s">
        <v>322</v>
      </c>
      <c r="K18" s="785"/>
      <c r="L18" s="786"/>
      <c r="M18" s="785"/>
      <c r="N18" s="819"/>
      <c r="O18" s="822"/>
      <c r="P18" s="825"/>
      <c r="Q18" s="807"/>
      <c r="R18" s="782"/>
      <c r="S18" s="782"/>
      <c r="T18" s="782"/>
      <c r="U18" s="782"/>
      <c r="V18" s="815"/>
      <c r="W18" s="548"/>
      <c r="X18" s="548"/>
      <c r="Y18" s="548"/>
      <c r="Z18" s="541"/>
    </row>
    <row r="19" spans="2:26" ht="142.5" customHeight="1" x14ac:dyDescent="0.25">
      <c r="B19" s="783"/>
      <c r="C19" s="784"/>
      <c r="D19" s="443" t="s">
        <v>342</v>
      </c>
      <c r="E19" s="444">
        <v>1</v>
      </c>
      <c r="F19" s="448">
        <v>0</v>
      </c>
      <c r="G19" s="448">
        <v>0</v>
      </c>
      <c r="H19" s="448">
        <v>0</v>
      </c>
      <c r="I19" s="442">
        <f>SUM(E19:H19)</f>
        <v>1</v>
      </c>
      <c r="J19" s="437" t="s">
        <v>322</v>
      </c>
      <c r="K19" s="785"/>
      <c r="L19" s="786"/>
      <c r="M19" s="785"/>
      <c r="N19" s="820"/>
      <c r="O19" s="823"/>
      <c r="P19" s="826"/>
      <c r="Q19" s="807"/>
      <c r="R19" s="782"/>
      <c r="S19" s="782"/>
      <c r="T19" s="782"/>
      <c r="U19" s="782"/>
      <c r="V19" s="815"/>
      <c r="W19" s="548"/>
      <c r="X19" s="548"/>
      <c r="Y19" s="548"/>
      <c r="Z19" s="541"/>
    </row>
    <row r="20" spans="2:26" ht="67.5" customHeight="1" x14ac:dyDescent="0.25">
      <c r="B20" s="783"/>
      <c r="C20" s="789" t="s">
        <v>343</v>
      </c>
      <c r="D20" s="455" t="s">
        <v>344</v>
      </c>
      <c r="E20" s="444">
        <v>1</v>
      </c>
      <c r="F20" s="448">
        <v>0</v>
      </c>
      <c r="G20" s="448">
        <v>0</v>
      </c>
      <c r="H20" s="448">
        <v>0</v>
      </c>
      <c r="I20" s="442">
        <v>1</v>
      </c>
      <c r="J20" s="456" t="s">
        <v>322</v>
      </c>
      <c r="K20" s="785" t="s">
        <v>168</v>
      </c>
      <c r="L20" s="786">
        <v>4</v>
      </c>
      <c r="M20" s="789" t="s">
        <v>363</v>
      </c>
      <c r="N20" s="790" t="s">
        <v>364</v>
      </c>
      <c r="O20" s="792">
        <v>1</v>
      </c>
      <c r="P20" s="780" t="s">
        <v>365</v>
      </c>
      <c r="Q20" s="781">
        <f>R20+S20+T20</f>
        <v>658663783</v>
      </c>
      <c r="R20" s="782">
        <v>658663783</v>
      </c>
      <c r="S20" s="782">
        <v>0</v>
      </c>
      <c r="T20" s="782">
        <v>0</v>
      </c>
      <c r="U20" s="782">
        <f>9591294166-53050000-8000000+9184900-19184000+2266887.65+1208079111-216462493-9438355-61000000-27000000-750005000</f>
        <v>9666685216.6499996</v>
      </c>
      <c r="V20" s="816" t="s">
        <v>419</v>
      </c>
      <c r="W20" s="550" t="s">
        <v>420</v>
      </c>
      <c r="X20" s="550" t="s">
        <v>554</v>
      </c>
      <c r="Y20" s="550" t="s">
        <v>626</v>
      </c>
      <c r="Z20" s="541" t="s">
        <v>555</v>
      </c>
    </row>
    <row r="21" spans="2:26" ht="73.5" customHeight="1" x14ac:dyDescent="0.25">
      <c r="B21" s="783"/>
      <c r="C21" s="789"/>
      <c r="D21" s="457" t="s">
        <v>363</v>
      </c>
      <c r="E21" s="448">
        <v>1</v>
      </c>
      <c r="F21" s="454">
        <v>1</v>
      </c>
      <c r="G21" s="448">
        <v>1</v>
      </c>
      <c r="H21" s="448">
        <v>1</v>
      </c>
      <c r="I21" s="442">
        <v>4</v>
      </c>
      <c r="J21" s="456" t="s">
        <v>322</v>
      </c>
      <c r="K21" s="785"/>
      <c r="L21" s="786"/>
      <c r="M21" s="789"/>
      <c r="N21" s="791"/>
      <c r="O21" s="793"/>
      <c r="P21" s="780"/>
      <c r="Q21" s="781"/>
      <c r="R21" s="782"/>
      <c r="S21" s="782"/>
      <c r="T21" s="782"/>
      <c r="U21" s="782"/>
      <c r="V21" s="816"/>
      <c r="W21" s="552"/>
      <c r="X21" s="552"/>
      <c r="Y21" s="552"/>
      <c r="Z21" s="541"/>
    </row>
    <row r="22" spans="2:26" ht="21.75" customHeight="1" x14ac:dyDescent="0.25">
      <c r="B22" s="779" t="s">
        <v>53</v>
      </c>
      <c r="C22" s="779"/>
      <c r="D22" s="779"/>
      <c r="E22" s="779"/>
      <c r="F22" s="779"/>
      <c r="G22" s="779"/>
      <c r="H22" s="779"/>
      <c r="I22" s="779"/>
      <c r="J22" s="779"/>
      <c r="K22" s="779"/>
      <c r="L22" s="779"/>
      <c r="M22" s="779"/>
      <c r="N22" s="779"/>
      <c r="O22" s="779"/>
      <c r="P22" s="779"/>
      <c r="Q22" s="163">
        <f>Q20+Q15+Q10+Q8</f>
        <v>4719278993</v>
      </c>
      <c r="R22" s="163">
        <f>R20+R15+R10+R8</f>
        <v>3619278993</v>
      </c>
      <c r="S22" s="163">
        <f>SUBTOTAL(9,S8:S21)</f>
        <v>0</v>
      </c>
      <c r="T22" s="163">
        <f>SUBTOTAL(9,T8:T21)</f>
        <v>1100000000</v>
      </c>
      <c r="U22" s="163">
        <f>U20+U15+U10+U8</f>
        <v>10175045216.65</v>
      </c>
      <c r="V22" s="463"/>
      <c r="W22" s="90"/>
      <c r="X22" s="90"/>
      <c r="Y22" s="90"/>
      <c r="Z22" s="90"/>
    </row>
    <row r="23" spans="2:26" x14ac:dyDescent="0.25">
      <c r="B23" s="559" t="s">
        <v>551</v>
      </c>
      <c r="C23" s="559"/>
      <c r="D23" s="559"/>
      <c r="E23" s="559"/>
      <c r="F23" s="559"/>
      <c r="G23" s="559"/>
      <c r="H23" s="559"/>
      <c r="I23" s="559"/>
      <c r="J23" s="559"/>
      <c r="K23" s="559"/>
      <c r="L23" s="559"/>
      <c r="M23" s="559"/>
      <c r="N23" s="559"/>
      <c r="O23" s="559"/>
      <c r="P23" s="559"/>
      <c r="Q23" s="559"/>
      <c r="R23" s="559"/>
      <c r="S23" s="559"/>
      <c r="T23" s="559"/>
      <c r="U23" s="559"/>
      <c r="V23" s="459"/>
      <c r="W23" s="90"/>
      <c r="X23" s="90"/>
      <c r="Y23" s="90"/>
      <c r="Z23" s="90"/>
    </row>
    <row r="24" spans="2:26" ht="86.25" x14ac:dyDescent="0.25">
      <c r="B24" s="460" t="s">
        <v>418</v>
      </c>
      <c r="C24" s="90"/>
      <c r="D24" s="90"/>
      <c r="E24" s="90"/>
      <c r="F24" s="90"/>
      <c r="G24" s="90"/>
      <c r="H24" s="90"/>
      <c r="I24" s="90"/>
      <c r="J24" s="90"/>
      <c r="K24" s="90"/>
      <c r="L24" s="90"/>
      <c r="M24" s="90"/>
      <c r="N24" s="90"/>
      <c r="O24" s="90"/>
      <c r="P24" s="90"/>
      <c r="Q24" s="461" t="s">
        <v>404</v>
      </c>
      <c r="R24" s="461" t="s">
        <v>406</v>
      </c>
      <c r="S24" s="458"/>
      <c r="T24" s="461" t="s">
        <v>405</v>
      </c>
      <c r="U24" s="458"/>
      <c r="V24" s="90"/>
      <c r="W24" s="90"/>
      <c r="X24" s="90"/>
      <c r="Y24" s="90"/>
      <c r="Z24" s="90"/>
    </row>
    <row r="25" spans="2:26" x14ac:dyDescent="0.25">
      <c r="B25" s="817"/>
      <c r="C25" s="817"/>
      <c r="D25" s="817"/>
      <c r="E25" s="817"/>
      <c r="F25" s="817"/>
      <c r="G25" s="817"/>
      <c r="H25" s="817"/>
      <c r="I25" s="817"/>
      <c r="J25" s="817"/>
      <c r="K25" s="817"/>
      <c r="M25" s="207"/>
    </row>
    <row r="26" spans="2:26" x14ac:dyDescent="0.25">
      <c r="M26" s="207"/>
    </row>
    <row r="27" spans="2:26" x14ac:dyDescent="0.25">
      <c r="M27" s="208"/>
    </row>
  </sheetData>
  <mergeCells count="90">
    <mergeCell ref="B23:U23"/>
    <mergeCell ref="V17:V19"/>
    <mergeCell ref="V20:V21"/>
    <mergeCell ref="B25:K25"/>
    <mergeCell ref="C15:C19"/>
    <mergeCell ref="U15:U19"/>
    <mergeCell ref="N17:N19"/>
    <mergeCell ref="O17:O19"/>
    <mergeCell ref="P17:P19"/>
    <mergeCell ref="R15:R19"/>
    <mergeCell ref="Q15:Q19"/>
    <mergeCell ref="S15:S19"/>
    <mergeCell ref="U20:U21"/>
    <mergeCell ref="C20:C21"/>
    <mergeCell ref="K20:K21"/>
    <mergeCell ref="L20:L21"/>
    <mergeCell ref="B6:J6"/>
    <mergeCell ref="L6:P6"/>
    <mergeCell ref="Q6:T6"/>
    <mergeCell ref="U6:U7"/>
    <mergeCell ref="W5:Y5"/>
    <mergeCell ref="W6:X6"/>
    <mergeCell ref="Y6:Y7"/>
    <mergeCell ref="M1:U1"/>
    <mergeCell ref="M2:U2"/>
    <mergeCell ref="B3:U3"/>
    <mergeCell ref="B4:U4"/>
    <mergeCell ref="B5:U5"/>
    <mergeCell ref="U8:U9"/>
    <mergeCell ref="C10:C14"/>
    <mergeCell ref="K10:K14"/>
    <mergeCell ref="L10:L14"/>
    <mergeCell ref="M10:M14"/>
    <mergeCell ref="Q10:Q14"/>
    <mergeCell ref="R10:R14"/>
    <mergeCell ref="S10:S14"/>
    <mergeCell ref="T10:T14"/>
    <mergeCell ref="U10:U14"/>
    <mergeCell ref="O8:O9"/>
    <mergeCell ref="P8:P9"/>
    <mergeCell ref="Q8:Q9"/>
    <mergeCell ref="R8:R9"/>
    <mergeCell ref="S8:S9"/>
    <mergeCell ref="T8:T9"/>
    <mergeCell ref="D12:D14"/>
    <mergeCell ref="E12:E14"/>
    <mergeCell ref="F12:F14"/>
    <mergeCell ref="G12:G14"/>
    <mergeCell ref="J15:J17"/>
    <mergeCell ref="D15:D17"/>
    <mergeCell ref="E15:E17"/>
    <mergeCell ref="F15:F17"/>
    <mergeCell ref="G15:G17"/>
    <mergeCell ref="J12:J14"/>
    <mergeCell ref="H15:H17"/>
    <mergeCell ref="I15:I17"/>
    <mergeCell ref="M20:M21"/>
    <mergeCell ref="N20:N21"/>
    <mergeCell ref="O20:O21"/>
    <mergeCell ref="T20:T21"/>
    <mergeCell ref="T15:T19"/>
    <mergeCell ref="B22:P22"/>
    <mergeCell ref="P20:P21"/>
    <mergeCell ref="Q20:Q21"/>
    <mergeCell ref="R20:R21"/>
    <mergeCell ref="S20:S21"/>
    <mergeCell ref="B8:B21"/>
    <mergeCell ref="C8:C9"/>
    <mergeCell ref="K8:K9"/>
    <mergeCell ref="L8:L9"/>
    <mergeCell ref="M8:M9"/>
    <mergeCell ref="N8:N9"/>
    <mergeCell ref="K15:K19"/>
    <mergeCell ref="L15:L19"/>
    <mergeCell ref="M15:M19"/>
    <mergeCell ref="H12:H14"/>
    <mergeCell ref="I12:I14"/>
    <mergeCell ref="W20:W21"/>
    <mergeCell ref="X20:X21"/>
    <mergeCell ref="Y20:Y21"/>
    <mergeCell ref="Z20:Z21"/>
    <mergeCell ref="V8:V9"/>
    <mergeCell ref="W8:W9"/>
    <mergeCell ref="X8:X9"/>
    <mergeCell ref="Y8:Y9"/>
    <mergeCell ref="Z8:Z9"/>
    <mergeCell ref="Y15:Y19"/>
    <mergeCell ref="W17:W19"/>
    <mergeCell ref="X17:X19"/>
    <mergeCell ref="Z15:Z19"/>
  </mergeCells>
  <conditionalFormatting sqref="E9:H9">
    <cfRule type="expression" dxfId="4" priority="3" stopIfTrue="1">
      <formula>+IF((#REF!+#REF!+#REF!+#REF!+#REF!)&lt;&gt;$E9,1,0)</formula>
    </cfRule>
  </conditionalFormatting>
  <conditionalFormatting sqref="F11:H11">
    <cfRule type="expression" dxfId="3" priority="1" stopIfTrue="1">
      <formula>+IF((#REF!+#REF!+#REF!+#REF!+#REF!)&lt;&gt;$E11,1,0)</formula>
    </cfRule>
  </conditionalFormatting>
  <conditionalFormatting sqref="E10:H12">
    <cfRule type="expression" dxfId="2" priority="2" stopIfTrue="1">
      <formula>+IF((#REF!+#REF!+#REF!+#REF!+#REF!)&lt;&gt;$E10,1,0)</formula>
    </cfRule>
  </conditionalFormatting>
  <dataValidations count="1">
    <dataValidation type="list" allowBlank="1" showInputMessage="1" showErrorMessage="1" sqref="K10 K8 P10:P17 P8 P20 J18:J21 J15:K15 J8:J12">
      <formula1>#REF!</formula1>
    </dataValidation>
  </dataValidation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V18"/>
  <sheetViews>
    <sheetView zoomScaleNormal="100" workbookViewId="0">
      <selection activeCell="U16" sqref="U16"/>
    </sheetView>
  </sheetViews>
  <sheetFormatPr baseColWidth="10" defaultRowHeight="15" x14ac:dyDescent="0.25"/>
  <cols>
    <col min="1" max="1" width="5.85546875" customWidth="1"/>
    <col min="2" max="2" width="17.85546875" customWidth="1"/>
    <col min="3" max="3" width="16.140625" customWidth="1"/>
    <col min="5" max="5" width="6.140625" customWidth="1"/>
    <col min="6" max="7" width="6" customWidth="1"/>
    <col min="8" max="8" width="6.140625" customWidth="1"/>
    <col min="9" max="9" width="9.7109375" customWidth="1"/>
    <col min="10" max="11" width="14.7109375" customWidth="1"/>
    <col min="12" max="12" width="5.5703125" customWidth="1"/>
    <col min="13" max="13" width="18.28515625" customWidth="1"/>
    <col min="16" max="16" width="13" customWidth="1"/>
    <col min="17" max="17" width="16.28515625" customWidth="1"/>
    <col min="18" max="18" width="18.28515625" customWidth="1"/>
    <col min="21" max="21" width="17" customWidth="1"/>
  </cols>
  <sheetData>
    <row r="3" spans="2:22" ht="15.75" x14ac:dyDescent="0.25">
      <c r="N3" s="581" t="s">
        <v>0</v>
      </c>
      <c r="O3" s="581"/>
      <c r="P3" s="581"/>
      <c r="Q3" s="581"/>
      <c r="R3" s="581"/>
      <c r="S3" s="581"/>
      <c r="T3" s="581"/>
      <c r="U3" s="581"/>
    </row>
    <row r="4" spans="2:22" ht="18" x14ac:dyDescent="0.25">
      <c r="N4" s="582" t="s">
        <v>2</v>
      </c>
      <c r="O4" s="582"/>
      <c r="P4" s="582"/>
      <c r="Q4" s="582"/>
      <c r="R4" s="582"/>
      <c r="S4" s="582"/>
      <c r="T4" s="582"/>
      <c r="U4" s="582"/>
    </row>
    <row r="6" spans="2:22" ht="16.5" x14ac:dyDescent="0.25">
      <c r="B6" s="521" t="s">
        <v>23</v>
      </c>
      <c r="C6" s="521"/>
      <c r="D6" s="521"/>
      <c r="E6" s="521"/>
      <c r="F6" s="521"/>
      <c r="G6" s="521"/>
      <c r="H6" s="521"/>
      <c r="I6" s="521"/>
      <c r="J6" s="521"/>
      <c r="K6" s="521"/>
      <c r="L6" s="521"/>
      <c r="M6" s="521"/>
      <c r="N6" s="521"/>
      <c r="O6" s="521"/>
      <c r="P6" s="521"/>
      <c r="Q6" s="521"/>
      <c r="R6" s="521"/>
      <c r="S6" s="521"/>
      <c r="T6" s="521"/>
      <c r="U6" s="521"/>
    </row>
    <row r="7" spans="2:22" ht="16.5" x14ac:dyDescent="0.25">
      <c r="B7" s="53" t="s">
        <v>154</v>
      </c>
      <c r="C7" s="53"/>
      <c r="D7" s="53"/>
      <c r="E7" s="53"/>
      <c r="F7" s="53"/>
      <c r="G7" s="53"/>
      <c r="H7" s="53"/>
      <c r="I7" s="53"/>
      <c r="J7" s="53"/>
      <c r="K7" s="53"/>
      <c r="L7" s="53"/>
      <c r="M7" s="53"/>
      <c r="N7" s="53"/>
      <c r="O7" s="53"/>
      <c r="P7" s="171"/>
      <c r="Q7" s="172"/>
      <c r="R7" s="172"/>
      <c r="S7" s="172"/>
      <c r="T7" s="172"/>
      <c r="U7" s="173"/>
      <c r="V7" s="40"/>
    </row>
    <row r="8" spans="2:22" ht="16.5" x14ac:dyDescent="0.25">
      <c r="B8" s="521" t="s">
        <v>155</v>
      </c>
      <c r="C8" s="521"/>
      <c r="D8" s="521"/>
      <c r="E8" s="521"/>
      <c r="F8" s="521"/>
      <c r="G8" s="521"/>
      <c r="H8" s="521"/>
      <c r="I8" s="521"/>
      <c r="J8" s="521"/>
      <c r="K8" s="521"/>
      <c r="L8" s="521"/>
      <c r="M8" s="521"/>
      <c r="N8" s="521"/>
      <c r="O8" s="521"/>
      <c r="P8" s="521"/>
      <c r="Q8" s="521"/>
      <c r="R8" s="521"/>
      <c r="S8" s="521"/>
      <c r="T8" s="521"/>
      <c r="U8" s="521"/>
    </row>
    <row r="9" spans="2:22" x14ac:dyDescent="0.25">
      <c r="B9" s="515" t="s">
        <v>3</v>
      </c>
      <c r="C9" s="515"/>
      <c r="D9" s="515"/>
      <c r="E9" s="515"/>
      <c r="F9" s="515"/>
      <c r="G9" s="515"/>
      <c r="H9" s="515"/>
      <c r="I9" s="515"/>
      <c r="J9" s="515"/>
      <c r="K9" s="84"/>
      <c r="L9" s="515" t="s">
        <v>72</v>
      </c>
      <c r="M9" s="515"/>
      <c r="N9" s="515"/>
      <c r="O9" s="515"/>
      <c r="P9" s="515"/>
      <c r="Q9" s="509" t="s">
        <v>4</v>
      </c>
      <c r="R9" s="509"/>
      <c r="S9" s="509"/>
      <c r="T9" s="509"/>
      <c r="U9" s="520" t="s">
        <v>40</v>
      </c>
    </row>
    <row r="10" spans="2:22" ht="48.75" customHeight="1" x14ac:dyDescent="0.25">
      <c r="B10" s="85" t="s">
        <v>51</v>
      </c>
      <c r="C10" s="85" t="s">
        <v>12</v>
      </c>
      <c r="D10" s="85" t="s">
        <v>52</v>
      </c>
      <c r="E10" s="85" t="s">
        <v>24</v>
      </c>
      <c r="F10" s="85" t="s">
        <v>25</v>
      </c>
      <c r="G10" s="85" t="s">
        <v>26</v>
      </c>
      <c r="H10" s="85" t="s">
        <v>27</v>
      </c>
      <c r="I10" s="85" t="s">
        <v>28</v>
      </c>
      <c r="J10" s="85" t="s">
        <v>29</v>
      </c>
      <c r="K10" s="85" t="s">
        <v>47</v>
      </c>
      <c r="L10" s="86" t="s">
        <v>14</v>
      </c>
      <c r="M10" s="86" t="s">
        <v>79</v>
      </c>
      <c r="N10" s="86" t="s">
        <v>15</v>
      </c>
      <c r="O10" s="86" t="s">
        <v>16</v>
      </c>
      <c r="P10" s="85" t="s">
        <v>48</v>
      </c>
      <c r="Q10" s="86" t="s">
        <v>17</v>
      </c>
      <c r="R10" s="86" t="s">
        <v>18</v>
      </c>
      <c r="S10" s="86" t="s">
        <v>19</v>
      </c>
      <c r="T10" s="198" t="s">
        <v>361</v>
      </c>
      <c r="U10" s="520"/>
    </row>
    <row r="11" spans="2:22" ht="40.5" x14ac:dyDescent="0.25">
      <c r="B11" s="518" t="s">
        <v>292</v>
      </c>
      <c r="C11" s="577" t="s">
        <v>311</v>
      </c>
      <c r="D11" s="498" t="s">
        <v>312</v>
      </c>
      <c r="E11" s="828">
        <v>1</v>
      </c>
      <c r="F11" s="828">
        <v>1</v>
      </c>
      <c r="G11" s="828">
        <v>1</v>
      </c>
      <c r="H11" s="828">
        <v>1</v>
      </c>
      <c r="I11" s="829">
        <f>SUM(E11:H12)</f>
        <v>4</v>
      </c>
      <c r="J11" s="498" t="s">
        <v>313</v>
      </c>
      <c r="K11" s="500" t="s">
        <v>168</v>
      </c>
      <c r="L11" s="306">
        <v>1</v>
      </c>
      <c r="M11" s="59" t="s">
        <v>314</v>
      </c>
      <c r="N11" s="59" t="s">
        <v>387</v>
      </c>
      <c r="O11" s="158">
        <v>1</v>
      </c>
      <c r="P11" s="490" t="s">
        <v>315</v>
      </c>
      <c r="Q11" s="81">
        <f>SUM(R11:T11)</f>
        <v>67977760</v>
      </c>
      <c r="R11" s="83">
        <f>70000000-2022240</f>
        <v>67977760</v>
      </c>
      <c r="S11" s="83"/>
      <c r="T11" s="83"/>
      <c r="U11" s="63">
        <f>2986512+61000000</f>
        <v>63986512</v>
      </c>
    </row>
    <row r="12" spans="2:22" x14ac:dyDescent="0.25">
      <c r="B12" s="518"/>
      <c r="C12" s="577"/>
      <c r="D12" s="498"/>
      <c r="E12" s="828"/>
      <c r="F12" s="828"/>
      <c r="G12" s="828"/>
      <c r="H12" s="828"/>
      <c r="I12" s="829"/>
      <c r="J12" s="498"/>
      <c r="K12" s="500"/>
      <c r="L12" s="508">
        <v>2</v>
      </c>
      <c r="M12" s="500" t="s">
        <v>385</v>
      </c>
      <c r="N12" s="500" t="s">
        <v>386</v>
      </c>
      <c r="O12" s="776">
        <v>1</v>
      </c>
      <c r="P12" s="491"/>
      <c r="Q12" s="572">
        <f>SUM(R13:T13)</f>
        <v>0</v>
      </c>
      <c r="R12" s="689">
        <v>0</v>
      </c>
      <c r="S12" s="827"/>
      <c r="T12" s="827"/>
      <c r="U12" s="510">
        <v>0</v>
      </c>
    </row>
    <row r="13" spans="2:22" ht="40.5" x14ac:dyDescent="0.25">
      <c r="B13" s="518"/>
      <c r="C13" s="577"/>
      <c r="D13" s="76" t="s">
        <v>316</v>
      </c>
      <c r="E13" s="154">
        <v>0</v>
      </c>
      <c r="F13" s="154">
        <v>0</v>
      </c>
      <c r="G13" s="154">
        <v>0</v>
      </c>
      <c r="H13" s="154">
        <v>1</v>
      </c>
      <c r="I13" s="155">
        <f>SUM(E13:H14)</f>
        <v>1</v>
      </c>
      <c r="J13" s="76" t="s">
        <v>313</v>
      </c>
      <c r="K13" s="500"/>
      <c r="L13" s="508"/>
      <c r="M13" s="500"/>
      <c r="N13" s="500"/>
      <c r="O13" s="776"/>
      <c r="P13" s="493"/>
      <c r="Q13" s="572"/>
      <c r="R13" s="689"/>
      <c r="S13" s="827"/>
      <c r="T13" s="827"/>
      <c r="U13" s="510"/>
    </row>
    <row r="14" spans="2:22" ht="15.75" x14ac:dyDescent="0.25">
      <c r="B14" s="632" t="s">
        <v>53</v>
      </c>
      <c r="C14" s="632"/>
      <c r="D14" s="632"/>
      <c r="E14" s="632"/>
      <c r="F14" s="632"/>
      <c r="G14" s="632"/>
      <c r="H14" s="632"/>
      <c r="I14" s="632"/>
      <c r="J14" s="632"/>
      <c r="K14" s="632"/>
      <c r="L14" s="632"/>
      <c r="M14" s="632"/>
      <c r="N14" s="632"/>
      <c r="O14" s="632"/>
      <c r="P14" s="632"/>
      <c r="Q14" s="89">
        <f>Q11+Q13</f>
        <v>67977760</v>
      </c>
      <c r="R14" s="89">
        <f>SUBTOTAL(9,R11:R13)</f>
        <v>67977760</v>
      </c>
      <c r="S14" s="89">
        <f>SUBTOTAL(9,S11:S13)</f>
        <v>0</v>
      </c>
      <c r="T14" s="89">
        <f>SUBTOTAL(9,T11:T13)</f>
        <v>0</v>
      </c>
      <c r="U14" s="163">
        <f>U11+U13</f>
        <v>63986512</v>
      </c>
    </row>
    <row r="16" spans="2:22" ht="105" x14ac:dyDescent="0.25">
      <c r="U16" s="315" t="s">
        <v>403</v>
      </c>
    </row>
    <row r="18" spans="21:21" x14ac:dyDescent="0.25">
      <c r="U18" s="316"/>
    </row>
  </sheetData>
  <mergeCells count="29">
    <mergeCell ref="L9:P9"/>
    <mergeCell ref="Q9:T9"/>
    <mergeCell ref="B14:P14"/>
    <mergeCell ref="H11:H12"/>
    <mergeCell ref="I11:I12"/>
    <mergeCell ref="J11:J12"/>
    <mergeCell ref="K11:K13"/>
    <mergeCell ref="P11:P13"/>
    <mergeCell ref="E11:E12"/>
    <mergeCell ref="F11:F12"/>
    <mergeCell ref="G11:G12"/>
    <mergeCell ref="N12:N13"/>
    <mergeCell ref="O12:O13"/>
    <mergeCell ref="U9:U10"/>
    <mergeCell ref="N4:U4"/>
    <mergeCell ref="N3:U3"/>
    <mergeCell ref="Q12:Q13"/>
    <mergeCell ref="R12:R13"/>
    <mergeCell ref="S12:S13"/>
    <mergeCell ref="T12:T13"/>
    <mergeCell ref="U12:U13"/>
    <mergeCell ref="B6:U6"/>
    <mergeCell ref="B8:U8"/>
    <mergeCell ref="L12:L13"/>
    <mergeCell ref="M12:M13"/>
    <mergeCell ref="B9:J9"/>
    <mergeCell ref="B11:B13"/>
    <mergeCell ref="C11:C13"/>
    <mergeCell ref="D11:D12"/>
  </mergeCells>
  <conditionalFormatting sqref="E11:H11">
    <cfRule type="expression" dxfId="1" priority="1" stopIfTrue="1">
      <formula>+IF((#REF!+#REF!+#REF!+#REF!+#REF!)&lt;&gt;$L11,1,0)</formula>
    </cfRule>
  </conditionalFormatting>
  <dataValidations count="3">
    <dataValidation type="list" allowBlank="1" showInputMessage="1" showErrorMessage="1" sqref="P11">
      <formula1>$Q$26:$Q$51</formula1>
    </dataValidation>
    <dataValidation type="list" allowBlank="1" showInputMessage="1" showErrorMessage="1" sqref="K11">
      <formula1>$I$20:$I$24</formula1>
    </dataValidation>
    <dataValidation type="list" allowBlank="1" showInputMessage="1" showErrorMessage="1" sqref="J11:J13">
      <formula1>$U$27:$U$35</formula1>
    </dataValidation>
  </dataValidations>
  <pageMargins left="0.7" right="0.7" top="0.75" bottom="0.75" header="0.3" footer="0.3"/>
  <ignoredErrors>
    <ignoredError sqref="Q11" formulaRange="1" unlockedFormula="1"/>
    <ignoredError sqref="Q12 R11" unlockedFormula="1"/>
  </ignoredErrors>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Z19"/>
  <sheetViews>
    <sheetView topLeftCell="V4" zoomScale="90" zoomScaleNormal="90" workbookViewId="0">
      <selection activeCell="Y12" sqref="Y12"/>
    </sheetView>
  </sheetViews>
  <sheetFormatPr baseColWidth="10" defaultRowHeight="15" x14ac:dyDescent="0.25"/>
  <cols>
    <col min="1" max="1" width="5.85546875" customWidth="1"/>
    <col min="2" max="2" width="17.85546875" customWidth="1"/>
    <col min="3" max="3" width="14.140625" customWidth="1"/>
    <col min="4" max="4" width="14.7109375" customWidth="1"/>
    <col min="5" max="5" width="6.140625" customWidth="1"/>
    <col min="6" max="7" width="6" customWidth="1"/>
    <col min="8" max="8" width="6.140625" customWidth="1"/>
    <col min="9" max="9" width="8.5703125" customWidth="1"/>
    <col min="10" max="11" width="14.7109375" customWidth="1"/>
    <col min="12" max="12" width="5.5703125" customWidth="1"/>
    <col min="13" max="13" width="18.28515625" customWidth="1"/>
    <col min="16" max="16" width="13" customWidth="1"/>
    <col min="17" max="17" width="17.42578125" customWidth="1"/>
    <col min="18" max="18" width="18.28515625" customWidth="1"/>
    <col min="21" max="21" width="19.5703125" customWidth="1"/>
    <col min="22" max="22" width="69.5703125" customWidth="1"/>
    <col min="23" max="23" width="60.42578125" customWidth="1"/>
    <col min="24" max="24" width="60.85546875" customWidth="1"/>
    <col min="25" max="25" width="70.7109375" customWidth="1"/>
    <col min="26" max="26" width="28.28515625" customWidth="1"/>
  </cols>
  <sheetData>
    <row r="3" spans="2:26" ht="15.75" x14ac:dyDescent="0.25">
      <c r="N3" s="581" t="s">
        <v>0</v>
      </c>
      <c r="O3" s="581"/>
      <c r="P3" s="581"/>
      <c r="Q3" s="581"/>
      <c r="R3" s="581"/>
      <c r="S3" s="581"/>
      <c r="T3" s="581"/>
      <c r="U3" s="581"/>
    </row>
    <row r="4" spans="2:26" ht="18" x14ac:dyDescent="0.25">
      <c r="N4" s="582" t="s">
        <v>2</v>
      </c>
      <c r="O4" s="582"/>
      <c r="P4" s="582"/>
      <c r="Q4" s="582"/>
      <c r="R4" s="582"/>
      <c r="S4" s="582"/>
      <c r="T4" s="582"/>
      <c r="U4" s="582"/>
    </row>
    <row r="6" spans="2:26" ht="16.5" x14ac:dyDescent="0.25">
      <c r="B6" s="521" t="s">
        <v>23</v>
      </c>
      <c r="C6" s="521"/>
      <c r="D6" s="521"/>
      <c r="E6" s="521"/>
      <c r="F6" s="521"/>
      <c r="G6" s="521"/>
      <c r="H6" s="521"/>
      <c r="I6" s="521"/>
      <c r="J6" s="521"/>
      <c r="K6" s="521"/>
      <c r="L6" s="521"/>
      <c r="M6" s="521"/>
      <c r="N6" s="521"/>
      <c r="O6" s="521"/>
      <c r="P6" s="521"/>
      <c r="Q6" s="521"/>
      <c r="R6" s="521"/>
      <c r="S6" s="521"/>
      <c r="T6" s="521"/>
      <c r="U6" s="521"/>
    </row>
    <row r="7" spans="2:26" ht="16.5" x14ac:dyDescent="0.25">
      <c r="B7" s="280" t="s">
        <v>154</v>
      </c>
      <c r="C7" s="280"/>
      <c r="D7" s="280"/>
      <c r="E7" s="280"/>
      <c r="F7" s="280"/>
      <c r="G7" s="280"/>
      <c r="H7" s="280"/>
      <c r="I7" s="280"/>
      <c r="J7" s="280"/>
      <c r="K7" s="280"/>
      <c r="L7" s="280"/>
      <c r="M7" s="280"/>
      <c r="N7" s="280"/>
      <c r="O7" s="280"/>
      <c r="P7" s="171"/>
      <c r="Q7" s="172"/>
      <c r="R7" s="172"/>
      <c r="S7" s="172"/>
      <c r="T7" s="172"/>
      <c r="U7" s="173"/>
      <c r="V7" s="40"/>
    </row>
    <row r="8" spans="2:26" ht="16.5" x14ac:dyDescent="0.25">
      <c r="B8" s="521" t="s">
        <v>155</v>
      </c>
      <c r="C8" s="521"/>
      <c r="D8" s="521"/>
      <c r="E8" s="521"/>
      <c r="F8" s="521"/>
      <c r="G8" s="521"/>
      <c r="H8" s="521"/>
      <c r="I8" s="521"/>
      <c r="J8" s="521"/>
      <c r="K8" s="521"/>
      <c r="L8" s="521"/>
      <c r="M8" s="521"/>
      <c r="N8" s="521"/>
      <c r="O8" s="521"/>
      <c r="P8" s="521"/>
      <c r="Q8" s="521"/>
      <c r="R8" s="521"/>
      <c r="S8" s="521"/>
      <c r="T8" s="521"/>
      <c r="U8" s="521"/>
      <c r="W8" s="812" t="s">
        <v>413</v>
      </c>
      <c r="X8" s="812"/>
      <c r="Y8" s="812"/>
    </row>
    <row r="9" spans="2:26" ht="15.75" x14ac:dyDescent="0.25">
      <c r="B9" s="515" t="s">
        <v>3</v>
      </c>
      <c r="C9" s="515"/>
      <c r="D9" s="515"/>
      <c r="E9" s="515"/>
      <c r="F9" s="515"/>
      <c r="G9" s="515"/>
      <c r="H9" s="515"/>
      <c r="I9" s="515"/>
      <c r="J9" s="515"/>
      <c r="K9" s="275"/>
      <c r="L9" s="515" t="s">
        <v>72</v>
      </c>
      <c r="M9" s="515"/>
      <c r="N9" s="515"/>
      <c r="O9" s="515"/>
      <c r="P9" s="515"/>
      <c r="Q9" s="509" t="s">
        <v>4</v>
      </c>
      <c r="R9" s="509"/>
      <c r="S9" s="509"/>
      <c r="T9" s="509"/>
      <c r="U9" s="520" t="s">
        <v>40</v>
      </c>
      <c r="W9" s="553" t="s">
        <v>410</v>
      </c>
      <c r="X9" s="554"/>
      <c r="Y9" s="754" t="s">
        <v>445</v>
      </c>
    </row>
    <row r="10" spans="2:26" ht="48.75" customHeight="1" x14ac:dyDescent="0.25">
      <c r="B10" s="273" t="s">
        <v>51</v>
      </c>
      <c r="C10" s="273" t="s">
        <v>12</v>
      </c>
      <c r="D10" s="273" t="s">
        <v>52</v>
      </c>
      <c r="E10" s="273" t="s">
        <v>24</v>
      </c>
      <c r="F10" s="273" t="s">
        <v>25</v>
      </c>
      <c r="G10" s="273" t="s">
        <v>26</v>
      </c>
      <c r="H10" s="273" t="s">
        <v>27</v>
      </c>
      <c r="I10" s="273" t="s">
        <v>28</v>
      </c>
      <c r="J10" s="273" t="s">
        <v>29</v>
      </c>
      <c r="K10" s="273" t="s">
        <v>47</v>
      </c>
      <c r="L10" s="279" t="s">
        <v>14</v>
      </c>
      <c r="M10" s="279" t="s">
        <v>79</v>
      </c>
      <c r="N10" s="279" t="s">
        <v>15</v>
      </c>
      <c r="O10" s="279" t="s">
        <v>16</v>
      </c>
      <c r="P10" s="273" t="s">
        <v>48</v>
      </c>
      <c r="Q10" s="279" t="s">
        <v>17</v>
      </c>
      <c r="R10" s="279" t="s">
        <v>18</v>
      </c>
      <c r="S10" s="279" t="s">
        <v>19</v>
      </c>
      <c r="T10" s="279" t="s">
        <v>361</v>
      </c>
      <c r="U10" s="520"/>
      <c r="V10" s="433" t="s">
        <v>426</v>
      </c>
      <c r="W10" s="292" t="s">
        <v>408</v>
      </c>
      <c r="X10" s="292" t="s">
        <v>409</v>
      </c>
      <c r="Y10" s="755"/>
    </row>
    <row r="11" spans="2:26" ht="132" customHeight="1" x14ac:dyDescent="0.25">
      <c r="B11" s="518" t="s">
        <v>292</v>
      </c>
      <c r="C11" s="577" t="s">
        <v>311</v>
      </c>
      <c r="D11" s="498" t="s">
        <v>312</v>
      </c>
      <c r="E11" s="828">
        <v>1</v>
      </c>
      <c r="F11" s="828">
        <v>1</v>
      </c>
      <c r="G11" s="828">
        <v>1</v>
      </c>
      <c r="H11" s="828">
        <v>1</v>
      </c>
      <c r="I11" s="829">
        <f>SUM(E11:H12)</f>
        <v>4</v>
      </c>
      <c r="J11" s="498" t="s">
        <v>313</v>
      </c>
      <c r="K11" s="500" t="s">
        <v>168</v>
      </c>
      <c r="L11" s="332">
        <v>1</v>
      </c>
      <c r="M11" s="269" t="s">
        <v>314</v>
      </c>
      <c r="N11" s="269" t="s">
        <v>387</v>
      </c>
      <c r="O11" s="288">
        <v>1</v>
      </c>
      <c r="P11" s="490" t="s">
        <v>315</v>
      </c>
      <c r="Q11" s="282">
        <f>SUM(R11:T11)</f>
        <v>67977760</v>
      </c>
      <c r="R11" s="286">
        <f>70000000-2022240</f>
        <v>67977760</v>
      </c>
      <c r="S11" s="286"/>
      <c r="T11" s="286"/>
      <c r="U11" s="274">
        <f>2986512+61000000</f>
        <v>63986512</v>
      </c>
      <c r="V11" s="467" t="s">
        <v>603</v>
      </c>
      <c r="W11" s="470" t="s">
        <v>627</v>
      </c>
      <c r="X11" s="470" t="s">
        <v>706</v>
      </c>
      <c r="Y11" s="470" t="s">
        <v>645</v>
      </c>
      <c r="Z11" s="379" t="s">
        <v>543</v>
      </c>
    </row>
    <row r="12" spans="2:26" ht="99" customHeight="1" x14ac:dyDescent="0.25">
      <c r="B12" s="518"/>
      <c r="C12" s="577"/>
      <c r="D12" s="498"/>
      <c r="E12" s="828"/>
      <c r="F12" s="828"/>
      <c r="G12" s="828"/>
      <c r="H12" s="828"/>
      <c r="I12" s="829"/>
      <c r="J12" s="498"/>
      <c r="K12" s="500"/>
      <c r="L12" s="346">
        <v>2</v>
      </c>
      <c r="M12" s="76" t="s">
        <v>707</v>
      </c>
      <c r="N12" s="76" t="s">
        <v>708</v>
      </c>
      <c r="O12" s="345">
        <v>1</v>
      </c>
      <c r="P12" s="491"/>
      <c r="Q12" s="347">
        <f>SUM(R13:T13)</f>
        <v>0</v>
      </c>
      <c r="R12" s="348">
        <v>0</v>
      </c>
      <c r="S12" s="348"/>
      <c r="T12" s="348"/>
      <c r="U12" s="67">
        <v>0</v>
      </c>
      <c r="V12" s="467" t="s">
        <v>646</v>
      </c>
      <c r="W12" s="470" t="s">
        <v>709</v>
      </c>
      <c r="X12" s="470" t="s">
        <v>587</v>
      </c>
      <c r="Y12" s="470" t="s">
        <v>710</v>
      </c>
      <c r="Z12" s="379" t="s">
        <v>644</v>
      </c>
    </row>
    <row r="13" spans="2:26" ht="75.75" customHeight="1" x14ac:dyDescent="0.25">
      <c r="B13" s="518"/>
      <c r="C13" s="577"/>
      <c r="D13" s="76" t="s">
        <v>316</v>
      </c>
      <c r="E13" s="289">
        <v>0</v>
      </c>
      <c r="F13" s="289">
        <v>0</v>
      </c>
      <c r="G13" s="289">
        <v>0</v>
      </c>
      <c r="H13" s="289">
        <v>1</v>
      </c>
      <c r="I13" s="290">
        <f>SUM(E13:H14)</f>
        <v>1</v>
      </c>
      <c r="J13" s="76" t="s">
        <v>313</v>
      </c>
      <c r="K13" s="500"/>
      <c r="L13" s="346"/>
      <c r="M13" s="76"/>
      <c r="N13" s="76"/>
      <c r="O13" s="345"/>
      <c r="P13" s="493"/>
      <c r="Q13" s="347"/>
      <c r="R13" s="348"/>
      <c r="S13" s="348"/>
      <c r="T13" s="348"/>
      <c r="U13" s="67"/>
    </row>
    <row r="14" spans="2:26" ht="15.75" x14ac:dyDescent="0.25">
      <c r="B14" s="632" t="s">
        <v>53</v>
      </c>
      <c r="C14" s="632"/>
      <c r="D14" s="632"/>
      <c r="E14" s="632"/>
      <c r="F14" s="632"/>
      <c r="G14" s="632"/>
      <c r="H14" s="632"/>
      <c r="I14" s="632"/>
      <c r="J14" s="632"/>
      <c r="K14" s="632"/>
      <c r="L14" s="632"/>
      <c r="M14" s="632"/>
      <c r="N14" s="632"/>
      <c r="O14" s="632"/>
      <c r="P14" s="632"/>
      <c r="Q14" s="152">
        <f>Q11+Q13</f>
        <v>67977760</v>
      </c>
      <c r="R14" s="89">
        <f>SUBTOTAL(9,R11:R13)</f>
        <v>67977760</v>
      </c>
      <c r="S14" s="89">
        <f>SUBTOTAL(9,S11:S13)</f>
        <v>0</v>
      </c>
      <c r="T14" s="89">
        <f>SUBTOTAL(9,T11:T13)</f>
        <v>0</v>
      </c>
      <c r="U14" s="344">
        <f>U11+U13</f>
        <v>63986512</v>
      </c>
    </row>
    <row r="15" spans="2:26" x14ac:dyDescent="0.25">
      <c r="B15" s="626" t="s">
        <v>544</v>
      </c>
      <c r="C15" s="626"/>
      <c r="D15" s="626"/>
      <c r="E15" s="626"/>
      <c r="F15" s="626"/>
      <c r="G15" s="626"/>
      <c r="H15" s="626"/>
      <c r="I15" s="626"/>
      <c r="J15" s="626"/>
      <c r="K15" s="626"/>
      <c r="L15" s="626"/>
      <c r="M15" s="626"/>
      <c r="N15" s="626"/>
      <c r="O15" s="626"/>
      <c r="P15" s="626"/>
      <c r="Q15" s="626"/>
      <c r="R15" s="626"/>
      <c r="S15" s="626"/>
      <c r="T15" s="626"/>
      <c r="U15" s="626"/>
    </row>
    <row r="16" spans="2:26" x14ac:dyDescent="0.25">
      <c r="B16" s="243" t="s">
        <v>416</v>
      </c>
    </row>
    <row r="17" spans="21:21" ht="90" x14ac:dyDescent="0.25">
      <c r="U17" s="315" t="s">
        <v>705</v>
      </c>
    </row>
    <row r="19" spans="21:21" x14ac:dyDescent="0.25">
      <c r="U19" s="316"/>
    </row>
  </sheetData>
  <mergeCells count="24">
    <mergeCell ref="B15:U15"/>
    <mergeCell ref="W8:Y8"/>
    <mergeCell ref="N3:U3"/>
    <mergeCell ref="N4:U4"/>
    <mergeCell ref="B6:U6"/>
    <mergeCell ref="B8:U8"/>
    <mergeCell ref="B9:J9"/>
    <mergeCell ref="L9:P9"/>
    <mergeCell ref="Q9:T9"/>
    <mergeCell ref="U9:U10"/>
    <mergeCell ref="B14:P14"/>
    <mergeCell ref="H11:H12"/>
    <mergeCell ref="I11:I12"/>
    <mergeCell ref="J11:J12"/>
    <mergeCell ref="K11:K13"/>
    <mergeCell ref="W9:X9"/>
    <mergeCell ref="Y9:Y10"/>
    <mergeCell ref="P11:P13"/>
    <mergeCell ref="B11:B13"/>
    <mergeCell ref="C11:C13"/>
    <mergeCell ref="D11:D12"/>
    <mergeCell ref="E11:E12"/>
    <mergeCell ref="F11:F12"/>
    <mergeCell ref="G11:G12"/>
  </mergeCells>
  <conditionalFormatting sqref="E11:H11">
    <cfRule type="expression" dxfId="0" priority="1" stopIfTrue="1">
      <formula>+IF((#REF!+#REF!+#REF!+#REF!+#REF!)&lt;&gt;$L11,1,0)</formula>
    </cfRule>
  </conditionalFormatting>
  <dataValidations count="3">
    <dataValidation type="list" allowBlank="1" showInputMessage="1" showErrorMessage="1" sqref="J11:J13">
      <formula1>$U$28:$U$36</formula1>
    </dataValidation>
    <dataValidation type="list" allowBlank="1" showInputMessage="1" showErrorMessage="1" sqref="K11">
      <formula1>$I$21:$I$25</formula1>
    </dataValidation>
    <dataValidation type="list" allowBlank="1" showInputMessage="1" showErrorMessage="1" sqref="P11">
      <formula1>$Q$27:$Q$52</formula1>
    </dataValidation>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W67"/>
  <sheetViews>
    <sheetView topLeftCell="A22" zoomScale="90" zoomScaleNormal="90" workbookViewId="0">
      <selection activeCell="C30" sqref="C30:C64"/>
    </sheetView>
  </sheetViews>
  <sheetFormatPr baseColWidth="10" defaultRowHeight="15" x14ac:dyDescent="0.25"/>
  <cols>
    <col min="2" max="2" width="21.42578125" customWidth="1"/>
    <col min="3" max="3" width="18.7109375" customWidth="1"/>
    <col min="4" max="4" width="19" customWidth="1"/>
    <col min="5" max="5" width="7" customWidth="1"/>
    <col min="6" max="7" width="6.5703125" customWidth="1"/>
    <col min="8" max="8" width="5.85546875" customWidth="1"/>
    <col min="11" max="11" width="25.42578125" customWidth="1"/>
    <col min="12" max="12" width="6.140625" customWidth="1"/>
    <col min="13" max="13" width="23.28515625" customWidth="1"/>
    <col min="14" max="14" width="19.85546875" customWidth="1"/>
    <col min="15" max="15" width="9.7109375" customWidth="1"/>
    <col min="16" max="16" width="20.85546875" customWidth="1"/>
    <col min="17" max="17" width="16.85546875" customWidth="1"/>
    <col min="18" max="18" width="18.28515625" customWidth="1"/>
    <col min="19" max="19" width="16.28515625" customWidth="1"/>
    <col min="20" max="20" width="16" customWidth="1"/>
    <col min="21" max="21" width="18.28515625" customWidth="1"/>
    <col min="23" max="23" width="15.140625" bestFit="1" customWidth="1"/>
  </cols>
  <sheetData>
    <row r="1" spans="1:21" ht="15.75" x14ac:dyDescent="0.25">
      <c r="N1" s="534" t="s">
        <v>0</v>
      </c>
      <c r="O1" s="534"/>
      <c r="P1" s="534"/>
      <c r="Q1" s="534"/>
      <c r="R1" s="534"/>
      <c r="S1" s="534"/>
      <c r="T1" s="534"/>
      <c r="U1" s="534"/>
    </row>
    <row r="2" spans="1:21" ht="18.75" x14ac:dyDescent="0.3">
      <c r="R2" s="535" t="s">
        <v>326</v>
      </c>
      <c r="S2" s="535"/>
      <c r="T2" s="535"/>
      <c r="U2" s="535"/>
    </row>
    <row r="4" spans="1:21" ht="16.5" x14ac:dyDescent="0.3">
      <c r="A4" s="161"/>
      <c r="B4" s="521" t="s">
        <v>171</v>
      </c>
      <c r="C4" s="521"/>
      <c r="D4" s="521"/>
      <c r="E4" s="521"/>
      <c r="F4" s="521"/>
      <c r="G4" s="521"/>
      <c r="H4" s="521"/>
      <c r="I4" s="521"/>
      <c r="J4" s="521"/>
      <c r="K4" s="521"/>
      <c r="L4" s="521"/>
      <c r="M4" s="521"/>
      <c r="N4" s="521"/>
      <c r="O4" s="521"/>
      <c r="P4" s="521"/>
      <c r="Q4" s="521"/>
      <c r="R4" s="521"/>
      <c r="S4" s="521"/>
      <c r="T4" s="521"/>
      <c r="U4" s="521"/>
    </row>
    <row r="5" spans="1:21" ht="16.5" x14ac:dyDescent="0.3">
      <c r="A5" s="161"/>
      <c r="B5" s="521" t="s">
        <v>172</v>
      </c>
      <c r="C5" s="521"/>
      <c r="D5" s="521"/>
      <c r="E5" s="521"/>
      <c r="F5" s="521"/>
      <c r="G5" s="521"/>
      <c r="H5" s="521"/>
      <c r="I5" s="521"/>
      <c r="J5" s="521"/>
      <c r="K5" s="521"/>
      <c r="L5" s="521"/>
      <c r="M5" s="521"/>
      <c r="N5" s="521"/>
      <c r="O5" s="521"/>
      <c r="P5" s="521"/>
      <c r="Q5" s="521"/>
      <c r="R5" s="521"/>
      <c r="S5" s="521"/>
      <c r="T5" s="521"/>
      <c r="U5" s="521"/>
    </row>
    <row r="6" spans="1:21" ht="16.5" x14ac:dyDescent="0.3">
      <c r="A6" s="161"/>
      <c r="B6" s="521" t="s">
        <v>173</v>
      </c>
      <c r="C6" s="521"/>
      <c r="D6" s="521"/>
      <c r="E6" s="521"/>
      <c r="F6" s="521"/>
      <c r="G6" s="521"/>
      <c r="H6" s="521"/>
      <c r="I6" s="521"/>
      <c r="J6" s="521"/>
      <c r="K6" s="521"/>
      <c r="L6" s="521"/>
      <c r="M6" s="521"/>
      <c r="N6" s="521"/>
      <c r="O6" s="521"/>
      <c r="P6" s="521"/>
      <c r="Q6" s="521"/>
      <c r="R6" s="521"/>
      <c r="S6" s="521"/>
      <c r="T6" s="521"/>
      <c r="U6" s="521"/>
    </row>
    <row r="7" spans="1:21" ht="16.5" x14ac:dyDescent="0.3">
      <c r="A7" s="161"/>
      <c r="B7" s="515" t="s">
        <v>3</v>
      </c>
      <c r="C7" s="515"/>
      <c r="D7" s="515"/>
      <c r="E7" s="515"/>
      <c r="F7" s="515"/>
      <c r="G7" s="515"/>
      <c r="H7" s="515"/>
      <c r="I7" s="515"/>
      <c r="J7" s="515"/>
      <c r="K7" s="84"/>
      <c r="L7" s="515" t="s">
        <v>72</v>
      </c>
      <c r="M7" s="515"/>
      <c r="N7" s="515"/>
      <c r="O7" s="515"/>
      <c r="P7" s="515"/>
      <c r="Q7" s="509" t="s">
        <v>4</v>
      </c>
      <c r="R7" s="509"/>
      <c r="S7" s="509"/>
      <c r="T7" s="509"/>
      <c r="U7" s="520" t="s">
        <v>40</v>
      </c>
    </row>
    <row r="8" spans="1:21" ht="52.5" customHeight="1" x14ac:dyDescent="0.3">
      <c r="A8" s="161"/>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520"/>
    </row>
    <row r="9" spans="1:21" ht="94.5" x14ac:dyDescent="0.3">
      <c r="A9" s="161"/>
      <c r="B9" s="518" t="s">
        <v>174</v>
      </c>
      <c r="C9" s="68" t="s">
        <v>175</v>
      </c>
      <c r="D9" s="59" t="s">
        <v>176</v>
      </c>
      <c r="E9" s="61">
        <v>24</v>
      </c>
      <c r="F9" s="61">
        <v>24</v>
      </c>
      <c r="G9" s="61">
        <v>24</v>
      </c>
      <c r="H9" s="61">
        <v>24</v>
      </c>
      <c r="I9" s="58">
        <f>SUM(E9:H9)</f>
        <v>96</v>
      </c>
      <c r="J9" s="59" t="s">
        <v>177</v>
      </c>
      <c r="K9" s="500" t="s">
        <v>30</v>
      </c>
      <c r="L9" s="58">
        <v>1</v>
      </c>
      <c r="M9" s="71" t="s">
        <v>178</v>
      </c>
      <c r="N9" s="60" t="s">
        <v>179</v>
      </c>
      <c r="O9" s="87">
        <v>24</v>
      </c>
      <c r="P9" s="60" t="s">
        <v>180</v>
      </c>
      <c r="Q9" s="65">
        <f>R9+S9+T9</f>
        <v>78336000</v>
      </c>
      <c r="R9" s="139">
        <f>78336000-26112000</f>
        <v>52224000</v>
      </c>
      <c r="S9" s="67">
        <v>0</v>
      </c>
      <c r="T9" s="67">
        <v>26112000</v>
      </c>
      <c r="U9" s="140">
        <v>0</v>
      </c>
    </row>
    <row r="10" spans="1:21" ht="54" x14ac:dyDescent="0.3">
      <c r="A10" s="161"/>
      <c r="B10" s="518"/>
      <c r="C10" s="68" t="s">
        <v>181</v>
      </c>
      <c r="D10" s="59" t="s">
        <v>182</v>
      </c>
      <c r="E10" s="61">
        <v>0</v>
      </c>
      <c r="F10" s="141">
        <v>0.25</v>
      </c>
      <c r="G10" s="141">
        <v>0.75</v>
      </c>
      <c r="H10" s="141">
        <v>0</v>
      </c>
      <c r="I10" s="131">
        <v>1</v>
      </c>
      <c r="J10" s="59" t="s">
        <v>177</v>
      </c>
      <c r="K10" s="500"/>
      <c r="L10" s="58">
        <v>2</v>
      </c>
      <c r="M10" s="74" t="s">
        <v>183</v>
      </c>
      <c r="N10" s="76" t="s">
        <v>184</v>
      </c>
      <c r="O10" s="88">
        <v>0.25</v>
      </c>
      <c r="P10" s="60" t="s">
        <v>180</v>
      </c>
      <c r="Q10" s="65">
        <f>R10+S10+T10</f>
        <v>0</v>
      </c>
      <c r="R10" s="139">
        <v>0</v>
      </c>
      <c r="S10" s="67">
        <v>0</v>
      </c>
      <c r="T10" s="67">
        <v>0</v>
      </c>
      <c r="U10" s="140">
        <v>0</v>
      </c>
    </row>
    <row r="11" spans="1:21" ht="16.5" x14ac:dyDescent="0.3">
      <c r="A11" s="161"/>
      <c r="B11" s="521" t="s">
        <v>23</v>
      </c>
      <c r="C11" s="521"/>
      <c r="D11" s="521"/>
      <c r="E11" s="521"/>
      <c r="F11" s="521"/>
      <c r="G11" s="521"/>
      <c r="H11" s="521"/>
      <c r="I11" s="521"/>
      <c r="J11" s="521"/>
      <c r="K11" s="521"/>
      <c r="L11" s="521"/>
      <c r="M11" s="521"/>
      <c r="N11" s="521"/>
      <c r="O11" s="521"/>
      <c r="P11" s="521"/>
      <c r="Q11" s="521"/>
      <c r="R11" s="521"/>
      <c r="S11" s="521"/>
      <c r="T11" s="521"/>
      <c r="U11" s="521"/>
    </row>
    <row r="12" spans="1:21" ht="16.5" x14ac:dyDescent="0.3">
      <c r="A12" s="161"/>
      <c r="B12" s="521" t="s">
        <v>46</v>
      </c>
      <c r="C12" s="521"/>
      <c r="D12" s="521"/>
      <c r="E12" s="521"/>
      <c r="F12" s="521"/>
      <c r="G12" s="521"/>
      <c r="H12" s="521"/>
      <c r="I12" s="521"/>
      <c r="J12" s="521"/>
      <c r="K12" s="521"/>
      <c r="L12" s="521"/>
      <c r="M12" s="521"/>
      <c r="N12" s="521"/>
      <c r="O12" s="521"/>
      <c r="P12" s="521"/>
      <c r="Q12" s="521"/>
      <c r="R12" s="521"/>
      <c r="S12" s="521"/>
      <c r="T12" s="521"/>
      <c r="U12" s="521"/>
    </row>
    <row r="13" spans="1:21" ht="16.5" x14ac:dyDescent="0.3">
      <c r="A13" s="161"/>
      <c r="B13" s="521" t="s">
        <v>185</v>
      </c>
      <c r="C13" s="521"/>
      <c r="D13" s="521"/>
      <c r="E13" s="521"/>
      <c r="F13" s="521"/>
      <c r="G13" s="521"/>
      <c r="H13" s="521"/>
      <c r="I13" s="521"/>
      <c r="J13" s="521"/>
      <c r="K13" s="521"/>
      <c r="L13" s="521"/>
      <c r="M13" s="521"/>
      <c r="N13" s="521"/>
      <c r="O13" s="521"/>
      <c r="P13" s="521"/>
      <c r="Q13" s="521"/>
      <c r="R13" s="521"/>
      <c r="S13" s="521"/>
      <c r="T13" s="521"/>
      <c r="U13" s="521"/>
    </row>
    <row r="14" spans="1:21" ht="16.5" x14ac:dyDescent="0.3">
      <c r="A14" s="161"/>
      <c r="B14" s="515" t="s">
        <v>3</v>
      </c>
      <c r="C14" s="515"/>
      <c r="D14" s="515"/>
      <c r="E14" s="515"/>
      <c r="F14" s="515"/>
      <c r="G14" s="515"/>
      <c r="H14" s="515"/>
      <c r="I14" s="515"/>
      <c r="J14" s="515"/>
      <c r="K14" s="84"/>
      <c r="L14" s="515" t="s">
        <v>72</v>
      </c>
      <c r="M14" s="515"/>
      <c r="N14" s="515"/>
      <c r="O14" s="515"/>
      <c r="P14" s="515"/>
      <c r="Q14" s="509" t="s">
        <v>186</v>
      </c>
      <c r="R14" s="509"/>
      <c r="S14" s="509"/>
      <c r="T14" s="509"/>
      <c r="U14" s="520" t="s">
        <v>40</v>
      </c>
    </row>
    <row r="15" spans="1:21" ht="39.75" customHeight="1" x14ac:dyDescent="0.3">
      <c r="A15" s="161"/>
      <c r="B15" s="85" t="s">
        <v>51</v>
      </c>
      <c r="C15" s="85" t="s">
        <v>12</v>
      </c>
      <c r="D15" s="85" t="s">
        <v>52</v>
      </c>
      <c r="E15" s="85" t="s">
        <v>24</v>
      </c>
      <c r="F15" s="85" t="s">
        <v>25</v>
      </c>
      <c r="G15" s="85" t="s">
        <v>26</v>
      </c>
      <c r="H15" s="85" t="s">
        <v>27</v>
      </c>
      <c r="I15" s="85" t="s">
        <v>28</v>
      </c>
      <c r="J15" s="85" t="s">
        <v>29</v>
      </c>
      <c r="K15" s="85" t="s">
        <v>47</v>
      </c>
      <c r="L15" s="86" t="s">
        <v>14</v>
      </c>
      <c r="M15" s="86" t="s">
        <v>79</v>
      </c>
      <c r="N15" s="86" t="s">
        <v>15</v>
      </c>
      <c r="O15" s="86" t="s">
        <v>16</v>
      </c>
      <c r="P15" s="85" t="s">
        <v>48</v>
      </c>
      <c r="Q15" s="86" t="s">
        <v>17</v>
      </c>
      <c r="R15" s="86" t="s">
        <v>18</v>
      </c>
      <c r="S15" s="86" t="s">
        <v>19</v>
      </c>
      <c r="T15" s="199" t="s">
        <v>361</v>
      </c>
      <c r="U15" s="520"/>
    </row>
    <row r="16" spans="1:21" ht="79.5" customHeight="1" x14ac:dyDescent="0.3">
      <c r="A16" s="161"/>
      <c r="B16" s="517" t="s">
        <v>187</v>
      </c>
      <c r="C16" s="59" t="s">
        <v>188</v>
      </c>
      <c r="D16" s="59" t="s">
        <v>189</v>
      </c>
      <c r="E16" s="142">
        <v>1</v>
      </c>
      <c r="F16" s="142">
        <v>0</v>
      </c>
      <c r="G16" s="142">
        <v>1</v>
      </c>
      <c r="H16" s="142">
        <v>0</v>
      </c>
      <c r="I16" s="242">
        <f>SUM(E16:H16)</f>
        <v>2</v>
      </c>
      <c r="J16" s="59" t="s">
        <v>177</v>
      </c>
      <c r="K16" s="59" t="s">
        <v>30</v>
      </c>
      <c r="L16" s="58">
        <v>3</v>
      </c>
      <c r="M16" s="59" t="s">
        <v>190</v>
      </c>
      <c r="N16" s="59" t="s">
        <v>189</v>
      </c>
      <c r="O16" s="87">
        <v>1</v>
      </c>
      <c r="P16" s="59" t="s">
        <v>191</v>
      </c>
      <c r="Q16" s="143">
        <f>R16+S16+T16</f>
        <v>0</v>
      </c>
      <c r="R16" s="63">
        <v>0</v>
      </c>
      <c r="S16" s="63">
        <v>0</v>
      </c>
      <c r="T16" s="63">
        <v>0</v>
      </c>
      <c r="U16" s="63">
        <v>0</v>
      </c>
    </row>
    <row r="17" spans="1:23" ht="69.75" customHeight="1" x14ac:dyDescent="0.3">
      <c r="A17" s="161"/>
      <c r="B17" s="517"/>
      <c r="C17" s="59" t="s">
        <v>192</v>
      </c>
      <c r="D17" s="59" t="s">
        <v>193</v>
      </c>
      <c r="E17" s="57">
        <v>27</v>
      </c>
      <c r="F17" s="57">
        <v>27</v>
      </c>
      <c r="G17" s="57">
        <v>27</v>
      </c>
      <c r="H17" s="57">
        <v>27</v>
      </c>
      <c r="I17" s="58">
        <v>27</v>
      </c>
      <c r="J17" s="59" t="s">
        <v>177</v>
      </c>
      <c r="K17" s="59" t="s">
        <v>113</v>
      </c>
      <c r="L17" s="58">
        <v>4</v>
      </c>
      <c r="M17" s="59" t="s">
        <v>194</v>
      </c>
      <c r="N17" s="59" t="s">
        <v>193</v>
      </c>
      <c r="O17" s="137">
        <f>E17</f>
        <v>27</v>
      </c>
      <c r="P17" s="59" t="s">
        <v>191</v>
      </c>
      <c r="Q17" s="143">
        <f>R17+S17+T17</f>
        <v>0</v>
      </c>
      <c r="R17" s="139">
        <v>0</v>
      </c>
      <c r="S17" s="63">
        <v>0</v>
      </c>
      <c r="T17" s="63">
        <v>0</v>
      </c>
      <c r="U17" s="83">
        <f>968658537-4000000</f>
        <v>964658537</v>
      </c>
    </row>
    <row r="18" spans="1:23" ht="90" customHeight="1" x14ac:dyDescent="0.3">
      <c r="A18" s="161"/>
      <c r="B18" s="518" t="s">
        <v>195</v>
      </c>
      <c r="C18" s="59" t="s">
        <v>196</v>
      </c>
      <c r="D18" s="59" t="s">
        <v>197</v>
      </c>
      <c r="E18" s="57">
        <v>0</v>
      </c>
      <c r="F18" s="57">
        <v>1</v>
      </c>
      <c r="G18" s="57">
        <v>0</v>
      </c>
      <c r="H18" s="57">
        <v>0</v>
      </c>
      <c r="I18" s="244">
        <f>SUM(E18:H18)</f>
        <v>1</v>
      </c>
      <c r="J18" s="59" t="s">
        <v>177</v>
      </c>
      <c r="K18" s="59" t="s">
        <v>30</v>
      </c>
      <c r="L18" s="508">
        <v>5</v>
      </c>
      <c r="M18" s="500" t="s">
        <v>196</v>
      </c>
      <c r="N18" s="500" t="s">
        <v>198</v>
      </c>
      <c r="O18" s="519">
        <v>1</v>
      </c>
      <c r="P18" s="500" t="s">
        <v>199</v>
      </c>
      <c r="Q18" s="516">
        <f>R18+S18+T18</f>
        <v>37785600</v>
      </c>
      <c r="R18" s="511">
        <v>37785600</v>
      </c>
      <c r="S18" s="510">
        <v>0</v>
      </c>
      <c r="T18" s="510">
        <v>0</v>
      </c>
      <c r="U18" s="510">
        <v>0</v>
      </c>
    </row>
    <row r="19" spans="1:23" ht="86.25" customHeight="1" x14ac:dyDescent="0.3">
      <c r="A19" s="161"/>
      <c r="B19" s="518"/>
      <c r="C19" s="59" t="s">
        <v>200</v>
      </c>
      <c r="D19" s="60" t="s">
        <v>201</v>
      </c>
      <c r="E19" s="61">
        <v>1</v>
      </c>
      <c r="F19" s="144">
        <v>0</v>
      </c>
      <c r="G19" s="144">
        <v>0</v>
      </c>
      <c r="H19" s="144">
        <v>0</v>
      </c>
      <c r="I19" s="58">
        <f>SUM(E19:H19)</f>
        <v>1</v>
      </c>
      <c r="J19" s="59" t="s">
        <v>177</v>
      </c>
      <c r="K19" s="59" t="s">
        <v>30</v>
      </c>
      <c r="L19" s="508"/>
      <c r="M19" s="500"/>
      <c r="N19" s="500"/>
      <c r="O19" s="519"/>
      <c r="P19" s="500"/>
      <c r="Q19" s="516"/>
      <c r="R19" s="511"/>
      <c r="S19" s="510"/>
      <c r="T19" s="510"/>
      <c r="U19" s="510"/>
    </row>
    <row r="20" spans="1:23" ht="16.5" x14ac:dyDescent="0.3">
      <c r="A20" s="161"/>
      <c r="B20" s="521" t="s">
        <v>202</v>
      </c>
      <c r="C20" s="521"/>
      <c r="D20" s="521"/>
      <c r="E20" s="521"/>
      <c r="F20" s="521"/>
      <c r="G20" s="521"/>
      <c r="H20" s="521"/>
      <c r="I20" s="521"/>
      <c r="J20" s="521"/>
      <c r="K20" s="521"/>
      <c r="L20" s="521"/>
      <c r="M20" s="521"/>
      <c r="N20" s="521"/>
      <c r="O20" s="521"/>
      <c r="P20" s="521"/>
      <c r="Q20" s="521"/>
      <c r="R20" s="521"/>
      <c r="S20" s="521"/>
      <c r="T20" s="521"/>
      <c r="U20" s="521"/>
    </row>
    <row r="21" spans="1:23" ht="16.5" x14ac:dyDescent="0.3">
      <c r="A21" s="161"/>
      <c r="B21" s="521" t="s">
        <v>203</v>
      </c>
      <c r="C21" s="521"/>
      <c r="D21" s="521"/>
      <c r="E21" s="521"/>
      <c r="F21" s="521"/>
      <c r="G21" s="521"/>
      <c r="H21" s="521"/>
      <c r="I21" s="521"/>
      <c r="J21" s="521"/>
      <c r="K21" s="521"/>
      <c r="L21" s="521"/>
      <c r="M21" s="521"/>
      <c r="N21" s="521"/>
      <c r="O21" s="521"/>
      <c r="P21" s="521"/>
      <c r="Q21" s="521"/>
      <c r="R21" s="521"/>
      <c r="S21" s="521"/>
      <c r="T21" s="521"/>
      <c r="U21" s="521"/>
    </row>
    <row r="22" spans="1:23" ht="16.5" x14ac:dyDescent="0.3">
      <c r="A22" s="161"/>
      <c r="B22" s="521" t="s">
        <v>204</v>
      </c>
      <c r="C22" s="521"/>
      <c r="D22" s="521"/>
      <c r="E22" s="521"/>
      <c r="F22" s="521"/>
      <c r="G22" s="521"/>
      <c r="H22" s="521"/>
      <c r="I22" s="521"/>
      <c r="J22" s="521"/>
      <c r="K22" s="521"/>
      <c r="L22" s="521"/>
      <c r="M22" s="521"/>
      <c r="N22" s="521"/>
      <c r="O22" s="521"/>
      <c r="P22" s="521"/>
      <c r="Q22" s="521"/>
      <c r="R22" s="521"/>
      <c r="S22" s="521"/>
      <c r="T22" s="521"/>
      <c r="U22" s="521"/>
    </row>
    <row r="23" spans="1:23" ht="16.5" x14ac:dyDescent="0.3">
      <c r="A23" s="161"/>
      <c r="B23" s="515" t="s">
        <v>3</v>
      </c>
      <c r="C23" s="515"/>
      <c r="D23" s="515"/>
      <c r="E23" s="515"/>
      <c r="F23" s="515"/>
      <c r="G23" s="515"/>
      <c r="H23" s="515"/>
      <c r="I23" s="515"/>
      <c r="J23" s="515"/>
      <c r="K23" s="84"/>
      <c r="L23" s="515" t="s">
        <v>72</v>
      </c>
      <c r="M23" s="515"/>
      <c r="N23" s="515"/>
      <c r="O23" s="515"/>
      <c r="P23" s="515"/>
      <c r="Q23" s="509" t="s">
        <v>4</v>
      </c>
      <c r="R23" s="509"/>
      <c r="S23" s="509"/>
      <c r="T23" s="509"/>
      <c r="U23" s="509" t="s">
        <v>40</v>
      </c>
    </row>
    <row r="24" spans="1:23" ht="45" customHeight="1" x14ac:dyDescent="0.3">
      <c r="A24" s="161"/>
      <c r="B24" s="85" t="s">
        <v>51</v>
      </c>
      <c r="C24" s="85" t="s">
        <v>12</v>
      </c>
      <c r="D24" s="85" t="s">
        <v>52</v>
      </c>
      <c r="E24" s="85" t="s">
        <v>24</v>
      </c>
      <c r="F24" s="85" t="s">
        <v>25</v>
      </c>
      <c r="G24" s="85" t="s">
        <v>26</v>
      </c>
      <c r="H24" s="85" t="s">
        <v>27</v>
      </c>
      <c r="I24" s="85" t="s">
        <v>28</v>
      </c>
      <c r="J24" s="85" t="s">
        <v>29</v>
      </c>
      <c r="K24" s="85" t="s">
        <v>47</v>
      </c>
      <c r="L24" s="86" t="s">
        <v>14</v>
      </c>
      <c r="M24" s="148" t="s">
        <v>79</v>
      </c>
      <c r="N24" s="86" t="s">
        <v>15</v>
      </c>
      <c r="O24" s="86" t="s">
        <v>16</v>
      </c>
      <c r="P24" s="85" t="s">
        <v>48</v>
      </c>
      <c r="Q24" s="86" t="s">
        <v>17</v>
      </c>
      <c r="R24" s="86" t="s">
        <v>18</v>
      </c>
      <c r="S24" s="86" t="s">
        <v>19</v>
      </c>
      <c r="T24" s="199" t="s">
        <v>361</v>
      </c>
      <c r="U24" s="509"/>
    </row>
    <row r="25" spans="1:23" ht="15" customHeight="1" x14ac:dyDescent="0.3">
      <c r="A25" s="161"/>
      <c r="B25" s="505" t="s">
        <v>205</v>
      </c>
      <c r="C25" s="497" t="s">
        <v>206</v>
      </c>
      <c r="D25" s="498" t="s">
        <v>207</v>
      </c>
      <c r="E25" s="499">
        <v>4</v>
      </c>
      <c r="F25" s="499">
        <v>0</v>
      </c>
      <c r="G25" s="499">
        <v>0</v>
      </c>
      <c r="H25" s="499">
        <v>0</v>
      </c>
      <c r="I25" s="508">
        <f>SUM(E25:H25)</f>
        <v>4</v>
      </c>
      <c r="J25" s="498" t="s">
        <v>177</v>
      </c>
      <c r="K25" s="498" t="s">
        <v>30</v>
      </c>
      <c r="L25" s="508">
        <v>6</v>
      </c>
      <c r="M25" s="500" t="s">
        <v>218</v>
      </c>
      <c r="N25" s="500" t="s">
        <v>208</v>
      </c>
      <c r="O25" s="486">
        <v>1</v>
      </c>
      <c r="P25" s="502" t="s">
        <v>219</v>
      </c>
      <c r="Q25" s="512">
        <f>R25+S25+T25</f>
        <v>41472000</v>
      </c>
      <c r="R25" s="511">
        <v>41472000</v>
      </c>
      <c r="S25" s="510">
        <v>0</v>
      </c>
      <c r="T25" s="510">
        <v>0</v>
      </c>
      <c r="U25" s="510">
        <v>0</v>
      </c>
    </row>
    <row r="26" spans="1:23" ht="40.5" customHeight="1" x14ac:dyDescent="0.3">
      <c r="A26" s="161"/>
      <c r="B26" s="505"/>
      <c r="C26" s="497"/>
      <c r="D26" s="498"/>
      <c r="E26" s="499"/>
      <c r="F26" s="499"/>
      <c r="G26" s="499"/>
      <c r="H26" s="499"/>
      <c r="I26" s="508"/>
      <c r="J26" s="498"/>
      <c r="K26" s="498"/>
      <c r="L26" s="508"/>
      <c r="M26" s="500"/>
      <c r="N26" s="500"/>
      <c r="O26" s="486"/>
      <c r="P26" s="503"/>
      <c r="Q26" s="513"/>
      <c r="R26" s="511"/>
      <c r="S26" s="510"/>
      <c r="T26" s="510"/>
      <c r="U26" s="510"/>
    </row>
    <row r="27" spans="1:23" ht="25.5" customHeight="1" x14ac:dyDescent="0.3">
      <c r="A27" s="161"/>
      <c r="B27" s="505"/>
      <c r="C27" s="500" t="s">
        <v>209</v>
      </c>
      <c r="D27" s="500" t="s">
        <v>210</v>
      </c>
      <c r="E27" s="499">
        <v>0</v>
      </c>
      <c r="F27" s="499">
        <v>1</v>
      </c>
      <c r="G27" s="507">
        <v>0</v>
      </c>
      <c r="H27" s="507">
        <v>0</v>
      </c>
      <c r="I27" s="536">
        <v>1</v>
      </c>
      <c r="J27" s="488" t="s">
        <v>177</v>
      </c>
      <c r="K27" s="500" t="s">
        <v>30</v>
      </c>
      <c r="L27" s="508"/>
      <c r="M27" s="500"/>
      <c r="N27" s="500" t="s">
        <v>212</v>
      </c>
      <c r="O27" s="487">
        <v>0.25</v>
      </c>
      <c r="P27" s="503"/>
      <c r="Q27" s="513"/>
      <c r="R27" s="511"/>
      <c r="S27" s="510"/>
      <c r="T27" s="510"/>
      <c r="U27" s="510"/>
    </row>
    <row r="28" spans="1:23" ht="41.25" customHeight="1" x14ac:dyDescent="0.3">
      <c r="A28" s="161"/>
      <c r="B28" s="505"/>
      <c r="C28" s="500"/>
      <c r="D28" s="500"/>
      <c r="E28" s="499"/>
      <c r="F28" s="499"/>
      <c r="G28" s="507"/>
      <c r="H28" s="507"/>
      <c r="I28" s="536"/>
      <c r="J28" s="488"/>
      <c r="K28" s="500"/>
      <c r="L28" s="508"/>
      <c r="M28" s="500"/>
      <c r="N28" s="500"/>
      <c r="O28" s="487"/>
      <c r="P28" s="503"/>
      <c r="Q28" s="513"/>
      <c r="R28" s="511"/>
      <c r="S28" s="510"/>
      <c r="T28" s="510"/>
      <c r="U28" s="510"/>
    </row>
    <row r="29" spans="1:23" ht="58.5" customHeight="1" x14ac:dyDescent="0.3">
      <c r="A29" s="161"/>
      <c r="B29" s="505"/>
      <c r="C29" s="60" t="s">
        <v>211</v>
      </c>
      <c r="D29" s="60" t="s">
        <v>210</v>
      </c>
      <c r="E29" s="145">
        <v>0</v>
      </c>
      <c r="F29" s="146">
        <v>0.25</v>
      </c>
      <c r="G29" s="146">
        <v>0.75</v>
      </c>
      <c r="H29" s="146">
        <v>0</v>
      </c>
      <c r="I29" s="146">
        <v>1</v>
      </c>
      <c r="J29" s="59" t="s">
        <v>177</v>
      </c>
      <c r="K29" s="59" t="s">
        <v>30</v>
      </c>
      <c r="L29" s="508"/>
      <c r="M29" s="500"/>
      <c r="N29" s="60" t="s">
        <v>214</v>
      </c>
      <c r="O29" s="162">
        <v>1</v>
      </c>
      <c r="P29" s="504"/>
      <c r="Q29" s="514"/>
      <c r="R29" s="511"/>
      <c r="S29" s="510"/>
      <c r="T29" s="510"/>
      <c r="U29" s="510"/>
    </row>
    <row r="30" spans="1:23" ht="15" customHeight="1" x14ac:dyDescent="0.3">
      <c r="A30" s="161"/>
      <c r="B30" s="505"/>
      <c r="C30" s="490" t="s">
        <v>213</v>
      </c>
      <c r="D30" s="490" t="s">
        <v>210</v>
      </c>
      <c r="E30" s="506">
        <v>0</v>
      </c>
      <c r="F30" s="492">
        <v>0.25</v>
      </c>
      <c r="G30" s="492">
        <v>0.25</v>
      </c>
      <c r="H30" s="492">
        <v>0.5</v>
      </c>
      <c r="I30" s="492">
        <v>1</v>
      </c>
      <c r="J30" s="490" t="s">
        <v>177</v>
      </c>
      <c r="K30" s="488" t="s">
        <v>30</v>
      </c>
      <c r="L30" s="489">
        <v>7</v>
      </c>
      <c r="M30" s="490" t="s">
        <v>220</v>
      </c>
      <c r="N30" s="494" t="s">
        <v>216</v>
      </c>
      <c r="O30" s="486">
        <v>100</v>
      </c>
      <c r="P30" s="502" t="s">
        <v>219</v>
      </c>
      <c r="Q30" s="525">
        <f>R30+S30+T30</f>
        <v>1034250746</v>
      </c>
      <c r="R30" s="528">
        <f>1069706400-35455654-218488000-70400000</f>
        <v>745362746</v>
      </c>
      <c r="S30" s="522">
        <v>0</v>
      </c>
      <c r="T30" s="522">
        <v>288888000</v>
      </c>
      <c r="U30" s="531">
        <f>10000000+4000000+8000000</f>
        <v>22000000</v>
      </c>
    </row>
    <row r="31" spans="1:23" ht="45" customHeight="1" x14ac:dyDescent="0.3">
      <c r="A31" s="161"/>
      <c r="B31" s="505"/>
      <c r="C31" s="491"/>
      <c r="D31" s="491"/>
      <c r="E31" s="506"/>
      <c r="F31" s="492"/>
      <c r="G31" s="492"/>
      <c r="H31" s="492"/>
      <c r="I31" s="492"/>
      <c r="J31" s="491"/>
      <c r="K31" s="488"/>
      <c r="L31" s="489"/>
      <c r="M31" s="491"/>
      <c r="N31" s="495"/>
      <c r="O31" s="486"/>
      <c r="P31" s="503"/>
      <c r="Q31" s="526"/>
      <c r="R31" s="529"/>
      <c r="S31" s="523"/>
      <c r="T31" s="523"/>
      <c r="U31" s="532"/>
      <c r="W31" s="188"/>
    </row>
    <row r="32" spans="1:23" ht="16.5" x14ac:dyDescent="0.3">
      <c r="A32" s="161"/>
      <c r="B32" s="505"/>
      <c r="C32" s="491"/>
      <c r="D32" s="491"/>
      <c r="E32" s="506"/>
      <c r="F32" s="492"/>
      <c r="G32" s="492"/>
      <c r="H32" s="492"/>
      <c r="I32" s="492"/>
      <c r="J32" s="491"/>
      <c r="K32" s="488"/>
      <c r="L32" s="489"/>
      <c r="M32" s="491"/>
      <c r="N32" s="495"/>
      <c r="O32" s="486"/>
      <c r="P32" s="503"/>
      <c r="Q32" s="526"/>
      <c r="R32" s="529"/>
      <c r="S32" s="523"/>
      <c r="T32" s="523"/>
      <c r="U32" s="532"/>
    </row>
    <row r="33" spans="1:21" ht="16.5" x14ac:dyDescent="0.3">
      <c r="A33" s="161"/>
      <c r="B33" s="505"/>
      <c r="C33" s="491"/>
      <c r="D33" s="491"/>
      <c r="E33" s="506"/>
      <c r="F33" s="492"/>
      <c r="G33" s="492"/>
      <c r="H33" s="492"/>
      <c r="I33" s="492"/>
      <c r="J33" s="491"/>
      <c r="K33" s="488"/>
      <c r="L33" s="489"/>
      <c r="M33" s="491"/>
      <c r="N33" s="496"/>
      <c r="O33" s="486"/>
      <c r="P33" s="503"/>
      <c r="Q33" s="526"/>
      <c r="R33" s="529"/>
      <c r="S33" s="523"/>
      <c r="T33" s="523"/>
      <c r="U33" s="532"/>
    </row>
    <row r="34" spans="1:21" ht="15" customHeight="1" x14ac:dyDescent="0.3">
      <c r="A34" s="161"/>
      <c r="B34" s="505"/>
      <c r="C34" s="491"/>
      <c r="D34" s="491"/>
      <c r="E34" s="506"/>
      <c r="F34" s="492"/>
      <c r="G34" s="492"/>
      <c r="H34" s="492"/>
      <c r="I34" s="492"/>
      <c r="J34" s="491"/>
      <c r="K34" s="488"/>
      <c r="L34" s="489"/>
      <c r="M34" s="491"/>
      <c r="N34" s="494" t="s">
        <v>217</v>
      </c>
      <c r="O34" s="487">
        <v>1</v>
      </c>
      <c r="P34" s="503"/>
      <c r="Q34" s="526"/>
      <c r="R34" s="529"/>
      <c r="S34" s="523"/>
      <c r="T34" s="523"/>
      <c r="U34" s="532"/>
    </row>
    <row r="35" spans="1:21" ht="16.5" x14ac:dyDescent="0.3">
      <c r="A35" s="161"/>
      <c r="B35" s="505"/>
      <c r="C35" s="491"/>
      <c r="D35" s="491"/>
      <c r="E35" s="506"/>
      <c r="F35" s="492"/>
      <c r="G35" s="492"/>
      <c r="H35" s="492"/>
      <c r="I35" s="492"/>
      <c r="J35" s="491"/>
      <c r="K35" s="488"/>
      <c r="L35" s="489"/>
      <c r="M35" s="491"/>
      <c r="N35" s="495"/>
      <c r="O35" s="487"/>
      <c r="P35" s="503"/>
      <c r="Q35" s="526"/>
      <c r="R35" s="529"/>
      <c r="S35" s="523"/>
      <c r="T35" s="523"/>
      <c r="U35" s="532"/>
    </row>
    <row r="36" spans="1:21" ht="16.5" x14ac:dyDescent="0.3">
      <c r="A36" s="161"/>
      <c r="B36" s="505"/>
      <c r="C36" s="491"/>
      <c r="D36" s="491"/>
      <c r="E36" s="506"/>
      <c r="F36" s="492"/>
      <c r="G36" s="492"/>
      <c r="H36" s="492"/>
      <c r="I36" s="492"/>
      <c r="J36" s="491"/>
      <c r="K36" s="488"/>
      <c r="L36" s="489"/>
      <c r="M36" s="491"/>
      <c r="N36" s="495"/>
      <c r="O36" s="487"/>
      <c r="P36" s="503"/>
      <c r="Q36" s="526"/>
      <c r="R36" s="529"/>
      <c r="S36" s="523"/>
      <c r="T36" s="523"/>
      <c r="U36" s="532"/>
    </row>
    <row r="37" spans="1:21" ht="16.5" customHeight="1" x14ac:dyDescent="0.3">
      <c r="A37" s="161"/>
      <c r="B37" s="505"/>
      <c r="C37" s="491"/>
      <c r="D37" s="491"/>
      <c r="E37" s="506"/>
      <c r="F37" s="492"/>
      <c r="G37" s="492"/>
      <c r="H37" s="492"/>
      <c r="I37" s="492"/>
      <c r="J37" s="491"/>
      <c r="K37" s="488"/>
      <c r="L37" s="489"/>
      <c r="M37" s="491"/>
      <c r="N37" s="495"/>
      <c r="O37" s="487"/>
      <c r="P37" s="503"/>
      <c r="Q37" s="526"/>
      <c r="R37" s="529"/>
      <c r="S37" s="523"/>
      <c r="T37" s="523"/>
      <c r="U37" s="532"/>
    </row>
    <row r="38" spans="1:21" ht="17.25" hidden="1" customHeight="1" x14ac:dyDescent="0.3">
      <c r="A38" s="161"/>
      <c r="B38" s="505"/>
      <c r="C38" s="491"/>
      <c r="D38" s="491"/>
      <c r="E38" s="506"/>
      <c r="F38" s="492"/>
      <c r="G38" s="492"/>
      <c r="H38" s="492"/>
      <c r="I38" s="492"/>
      <c r="J38" s="491"/>
      <c r="K38" s="488"/>
      <c r="L38" s="489"/>
      <c r="M38" s="491"/>
      <c r="N38" s="495"/>
      <c r="O38" s="487"/>
      <c r="P38" s="503"/>
      <c r="Q38" s="526"/>
      <c r="R38" s="529"/>
      <c r="S38" s="523"/>
      <c r="T38" s="523"/>
      <c r="U38" s="532"/>
    </row>
    <row r="39" spans="1:21" ht="15" hidden="1" customHeight="1" x14ac:dyDescent="0.3">
      <c r="A39" s="161"/>
      <c r="B39" s="505"/>
      <c r="C39" s="491"/>
      <c r="D39" s="491"/>
      <c r="E39" s="506"/>
      <c r="F39" s="492"/>
      <c r="G39" s="492"/>
      <c r="H39" s="492"/>
      <c r="I39" s="492"/>
      <c r="J39" s="491"/>
      <c r="K39" s="488"/>
      <c r="L39" s="489"/>
      <c r="M39" s="491"/>
      <c r="N39" s="495"/>
      <c r="O39" s="487"/>
      <c r="P39" s="504"/>
      <c r="Q39" s="526"/>
      <c r="R39" s="529"/>
      <c r="S39" s="523"/>
      <c r="T39" s="523"/>
      <c r="U39" s="532"/>
    </row>
    <row r="40" spans="1:21" ht="15" hidden="1" customHeight="1" x14ac:dyDescent="0.3">
      <c r="A40" s="161"/>
      <c r="B40" s="505"/>
      <c r="C40" s="491"/>
      <c r="D40" s="491"/>
      <c r="E40" s="506"/>
      <c r="F40" s="492"/>
      <c r="G40" s="492"/>
      <c r="H40" s="492"/>
      <c r="I40" s="492"/>
      <c r="J40" s="491"/>
      <c r="K40" s="488"/>
      <c r="L40" s="489"/>
      <c r="M40" s="491"/>
      <c r="N40" s="495"/>
      <c r="O40" s="487"/>
      <c r="P40" s="502"/>
      <c r="Q40" s="526"/>
      <c r="R40" s="529"/>
      <c r="S40" s="523"/>
      <c r="T40" s="523"/>
      <c r="U40" s="532"/>
    </row>
    <row r="41" spans="1:21" ht="15" hidden="1" customHeight="1" x14ac:dyDescent="0.3">
      <c r="A41" s="161"/>
      <c r="B41" s="505"/>
      <c r="C41" s="491"/>
      <c r="D41" s="491"/>
      <c r="E41" s="506"/>
      <c r="F41" s="492"/>
      <c r="G41" s="492"/>
      <c r="H41" s="492"/>
      <c r="I41" s="492"/>
      <c r="J41" s="491"/>
      <c r="K41" s="488"/>
      <c r="L41" s="489"/>
      <c r="M41" s="491"/>
      <c r="N41" s="495"/>
      <c r="O41" s="487"/>
      <c r="P41" s="503"/>
      <c r="Q41" s="526"/>
      <c r="R41" s="529"/>
      <c r="S41" s="523"/>
      <c r="T41" s="523"/>
      <c r="U41" s="532"/>
    </row>
    <row r="42" spans="1:21" ht="15" hidden="1" customHeight="1" x14ac:dyDescent="0.3">
      <c r="A42" s="161"/>
      <c r="B42" s="505"/>
      <c r="C42" s="491"/>
      <c r="D42" s="491"/>
      <c r="E42" s="506"/>
      <c r="F42" s="492"/>
      <c r="G42" s="492"/>
      <c r="H42" s="492"/>
      <c r="I42" s="492"/>
      <c r="J42" s="491"/>
      <c r="K42" s="488"/>
      <c r="L42" s="489"/>
      <c r="M42" s="491"/>
      <c r="N42" s="495"/>
      <c r="O42" s="487"/>
      <c r="P42" s="503"/>
      <c r="Q42" s="526"/>
      <c r="R42" s="529"/>
      <c r="S42" s="523"/>
      <c r="T42" s="523"/>
      <c r="U42" s="532"/>
    </row>
    <row r="43" spans="1:21" ht="15" hidden="1" customHeight="1" x14ac:dyDescent="0.3">
      <c r="A43" s="161"/>
      <c r="B43" s="505"/>
      <c r="C43" s="491"/>
      <c r="D43" s="491"/>
      <c r="E43" s="506"/>
      <c r="F43" s="492"/>
      <c r="G43" s="492"/>
      <c r="H43" s="492"/>
      <c r="I43" s="492"/>
      <c r="J43" s="491"/>
      <c r="K43" s="488"/>
      <c r="L43" s="489"/>
      <c r="M43" s="491"/>
      <c r="N43" s="495"/>
      <c r="O43" s="487"/>
      <c r="P43" s="503"/>
      <c r="Q43" s="526"/>
      <c r="R43" s="529"/>
      <c r="S43" s="523"/>
      <c r="T43" s="523"/>
      <c r="U43" s="532"/>
    </row>
    <row r="44" spans="1:21" ht="15" hidden="1" customHeight="1" x14ac:dyDescent="0.3">
      <c r="A44" s="161"/>
      <c r="B44" s="505"/>
      <c r="C44" s="491"/>
      <c r="D44" s="491"/>
      <c r="E44" s="506"/>
      <c r="F44" s="492"/>
      <c r="G44" s="492"/>
      <c r="H44" s="492"/>
      <c r="I44" s="492"/>
      <c r="J44" s="491"/>
      <c r="K44" s="488"/>
      <c r="L44" s="489"/>
      <c r="M44" s="491"/>
      <c r="N44" s="495"/>
      <c r="O44" s="487"/>
      <c r="P44" s="504"/>
      <c r="Q44" s="526"/>
      <c r="R44" s="529"/>
      <c r="S44" s="523"/>
      <c r="T44" s="523"/>
      <c r="U44" s="532"/>
    </row>
    <row r="45" spans="1:21" ht="15" hidden="1" customHeight="1" x14ac:dyDescent="0.3">
      <c r="A45" s="161"/>
      <c r="B45" s="505"/>
      <c r="C45" s="491"/>
      <c r="D45" s="491"/>
      <c r="E45" s="506"/>
      <c r="F45" s="492"/>
      <c r="G45" s="492"/>
      <c r="H45" s="492"/>
      <c r="I45" s="492"/>
      <c r="J45" s="491"/>
      <c r="K45" s="488"/>
      <c r="L45" s="489"/>
      <c r="M45" s="491"/>
      <c r="N45" s="495"/>
      <c r="O45" s="487"/>
      <c r="P45" s="502"/>
      <c r="Q45" s="526"/>
      <c r="R45" s="529"/>
      <c r="S45" s="523"/>
      <c r="T45" s="523"/>
      <c r="U45" s="532"/>
    </row>
    <row r="46" spans="1:21" ht="15" hidden="1" customHeight="1" x14ac:dyDescent="0.3">
      <c r="A46" s="161"/>
      <c r="B46" s="505"/>
      <c r="C46" s="491"/>
      <c r="D46" s="491"/>
      <c r="E46" s="506"/>
      <c r="F46" s="492"/>
      <c r="G46" s="492"/>
      <c r="H46" s="492"/>
      <c r="I46" s="492"/>
      <c r="J46" s="491"/>
      <c r="K46" s="488"/>
      <c r="L46" s="489"/>
      <c r="M46" s="491"/>
      <c r="N46" s="495"/>
      <c r="O46" s="487"/>
      <c r="P46" s="503"/>
      <c r="Q46" s="526"/>
      <c r="R46" s="529"/>
      <c r="S46" s="523"/>
      <c r="T46" s="523"/>
      <c r="U46" s="532"/>
    </row>
    <row r="47" spans="1:21" ht="15" hidden="1" customHeight="1" x14ac:dyDescent="0.3">
      <c r="A47" s="161"/>
      <c r="B47" s="505"/>
      <c r="C47" s="491"/>
      <c r="D47" s="491"/>
      <c r="E47" s="506"/>
      <c r="F47" s="492"/>
      <c r="G47" s="492"/>
      <c r="H47" s="492"/>
      <c r="I47" s="492"/>
      <c r="J47" s="491"/>
      <c r="K47" s="488"/>
      <c r="L47" s="489"/>
      <c r="M47" s="491"/>
      <c r="N47" s="495"/>
      <c r="O47" s="487"/>
      <c r="P47" s="503"/>
      <c r="Q47" s="526"/>
      <c r="R47" s="529"/>
      <c r="S47" s="523"/>
      <c r="T47" s="523"/>
      <c r="U47" s="532"/>
    </row>
    <row r="48" spans="1:21" ht="15" hidden="1" customHeight="1" x14ac:dyDescent="0.3">
      <c r="A48" s="161"/>
      <c r="B48" s="505"/>
      <c r="C48" s="491"/>
      <c r="D48" s="491"/>
      <c r="E48" s="506"/>
      <c r="F48" s="492"/>
      <c r="G48" s="492"/>
      <c r="H48" s="492"/>
      <c r="I48" s="492"/>
      <c r="J48" s="491"/>
      <c r="K48" s="488"/>
      <c r="L48" s="489"/>
      <c r="M48" s="491"/>
      <c r="N48" s="495"/>
      <c r="O48" s="487"/>
      <c r="P48" s="503"/>
      <c r="Q48" s="526"/>
      <c r="R48" s="529"/>
      <c r="S48" s="523"/>
      <c r="T48" s="523"/>
      <c r="U48" s="532"/>
    </row>
    <row r="49" spans="1:21" ht="15" hidden="1" customHeight="1" x14ac:dyDescent="0.3">
      <c r="A49" s="161"/>
      <c r="B49" s="505"/>
      <c r="C49" s="491"/>
      <c r="D49" s="491"/>
      <c r="E49" s="506"/>
      <c r="F49" s="492"/>
      <c r="G49" s="492"/>
      <c r="H49" s="492"/>
      <c r="I49" s="492"/>
      <c r="J49" s="491"/>
      <c r="K49" s="488"/>
      <c r="L49" s="489"/>
      <c r="M49" s="491"/>
      <c r="N49" s="495"/>
      <c r="O49" s="487"/>
      <c r="P49" s="504"/>
      <c r="Q49" s="526"/>
      <c r="R49" s="529"/>
      <c r="S49" s="523"/>
      <c r="T49" s="523"/>
      <c r="U49" s="532"/>
    </row>
    <row r="50" spans="1:21" ht="15" hidden="1" customHeight="1" x14ac:dyDescent="0.3">
      <c r="A50" s="161"/>
      <c r="B50" s="505"/>
      <c r="C50" s="491"/>
      <c r="D50" s="491"/>
      <c r="E50" s="506"/>
      <c r="F50" s="492"/>
      <c r="G50" s="492"/>
      <c r="H50" s="492"/>
      <c r="I50" s="492"/>
      <c r="J50" s="491"/>
      <c r="K50" s="488"/>
      <c r="L50" s="489"/>
      <c r="M50" s="491"/>
      <c r="N50" s="495"/>
      <c r="O50" s="487"/>
      <c r="P50" s="502"/>
      <c r="Q50" s="526"/>
      <c r="R50" s="529"/>
      <c r="S50" s="523"/>
      <c r="T50" s="523"/>
      <c r="U50" s="532"/>
    </row>
    <row r="51" spans="1:21" ht="13.5" hidden="1" customHeight="1" x14ac:dyDescent="0.3">
      <c r="A51" s="161"/>
      <c r="B51" s="505"/>
      <c r="C51" s="491"/>
      <c r="D51" s="491"/>
      <c r="E51" s="506"/>
      <c r="F51" s="492"/>
      <c r="G51" s="492"/>
      <c r="H51" s="492"/>
      <c r="I51" s="492"/>
      <c r="J51" s="491"/>
      <c r="K51" s="488"/>
      <c r="L51" s="489"/>
      <c r="M51" s="491"/>
      <c r="N51" s="495"/>
      <c r="O51" s="487"/>
      <c r="P51" s="503"/>
      <c r="Q51" s="526"/>
      <c r="R51" s="529"/>
      <c r="S51" s="523"/>
      <c r="T51" s="523"/>
      <c r="U51" s="532"/>
    </row>
    <row r="52" spans="1:21" ht="15" hidden="1" customHeight="1" x14ac:dyDescent="0.3">
      <c r="A52" s="161"/>
      <c r="B52" s="505"/>
      <c r="C52" s="491"/>
      <c r="D52" s="491"/>
      <c r="E52" s="506"/>
      <c r="F52" s="492"/>
      <c r="G52" s="492"/>
      <c r="H52" s="492"/>
      <c r="I52" s="492"/>
      <c r="J52" s="491"/>
      <c r="K52" s="488"/>
      <c r="L52" s="489"/>
      <c r="M52" s="491"/>
      <c r="N52" s="495"/>
      <c r="O52" s="487"/>
      <c r="P52" s="503"/>
      <c r="Q52" s="526"/>
      <c r="R52" s="529"/>
      <c r="S52" s="523"/>
      <c r="T52" s="523"/>
      <c r="U52" s="532"/>
    </row>
    <row r="53" spans="1:21" ht="15" hidden="1" customHeight="1" x14ac:dyDescent="0.3">
      <c r="A53" s="161"/>
      <c r="B53" s="505"/>
      <c r="C53" s="491"/>
      <c r="D53" s="491"/>
      <c r="E53" s="506"/>
      <c r="F53" s="492"/>
      <c r="G53" s="492"/>
      <c r="H53" s="492"/>
      <c r="I53" s="492"/>
      <c r="J53" s="491"/>
      <c r="K53" s="488"/>
      <c r="L53" s="489"/>
      <c r="M53" s="491"/>
      <c r="N53" s="495"/>
      <c r="O53" s="487"/>
      <c r="P53" s="503"/>
      <c r="Q53" s="526"/>
      <c r="R53" s="529"/>
      <c r="S53" s="523"/>
      <c r="T53" s="523"/>
      <c r="U53" s="532"/>
    </row>
    <row r="54" spans="1:21" ht="15" hidden="1" customHeight="1" x14ac:dyDescent="0.3">
      <c r="A54" s="161"/>
      <c r="B54" s="505"/>
      <c r="C54" s="491"/>
      <c r="D54" s="491"/>
      <c r="E54" s="506"/>
      <c r="F54" s="492"/>
      <c r="G54" s="492"/>
      <c r="H54" s="492"/>
      <c r="I54" s="492"/>
      <c r="J54" s="491"/>
      <c r="K54" s="488"/>
      <c r="L54" s="489"/>
      <c r="M54" s="491"/>
      <c r="N54" s="495"/>
      <c r="O54" s="487"/>
      <c r="P54" s="504"/>
      <c r="Q54" s="526"/>
      <c r="R54" s="529"/>
      <c r="S54" s="523"/>
      <c r="T54" s="523"/>
      <c r="U54" s="532"/>
    </row>
    <row r="55" spans="1:21" ht="15" hidden="1" customHeight="1" x14ac:dyDescent="0.3">
      <c r="A55" s="161"/>
      <c r="B55" s="505"/>
      <c r="C55" s="491"/>
      <c r="D55" s="491"/>
      <c r="E55" s="506"/>
      <c r="F55" s="492"/>
      <c r="G55" s="492"/>
      <c r="H55" s="492"/>
      <c r="I55" s="492"/>
      <c r="J55" s="491"/>
      <c r="K55" s="488"/>
      <c r="L55" s="489"/>
      <c r="M55" s="491"/>
      <c r="N55" s="495"/>
      <c r="O55" s="487"/>
      <c r="P55" s="502"/>
      <c r="Q55" s="526"/>
      <c r="R55" s="529"/>
      <c r="S55" s="523"/>
      <c r="T55" s="523"/>
      <c r="U55" s="532"/>
    </row>
    <row r="56" spans="1:21" ht="15" hidden="1" customHeight="1" x14ac:dyDescent="0.3">
      <c r="A56" s="161"/>
      <c r="B56" s="505"/>
      <c r="C56" s="491"/>
      <c r="D56" s="491"/>
      <c r="E56" s="506"/>
      <c r="F56" s="492"/>
      <c r="G56" s="492"/>
      <c r="H56" s="492"/>
      <c r="I56" s="492"/>
      <c r="J56" s="491"/>
      <c r="K56" s="488"/>
      <c r="L56" s="489"/>
      <c r="M56" s="491"/>
      <c r="N56" s="495"/>
      <c r="O56" s="487"/>
      <c r="P56" s="503"/>
      <c r="Q56" s="526"/>
      <c r="R56" s="529"/>
      <c r="S56" s="523"/>
      <c r="T56" s="523"/>
      <c r="U56" s="532"/>
    </row>
    <row r="57" spans="1:21" ht="15" hidden="1" customHeight="1" x14ac:dyDescent="0.3">
      <c r="A57" s="161"/>
      <c r="B57" s="505"/>
      <c r="C57" s="491"/>
      <c r="D57" s="491"/>
      <c r="E57" s="506"/>
      <c r="F57" s="492"/>
      <c r="G57" s="492"/>
      <c r="H57" s="492"/>
      <c r="I57" s="492"/>
      <c r="J57" s="491"/>
      <c r="K57" s="488"/>
      <c r="L57" s="489"/>
      <c r="M57" s="491"/>
      <c r="N57" s="495"/>
      <c r="O57" s="487"/>
      <c r="P57" s="503"/>
      <c r="Q57" s="526"/>
      <c r="R57" s="529"/>
      <c r="S57" s="523"/>
      <c r="T57" s="523"/>
      <c r="U57" s="532"/>
    </row>
    <row r="58" spans="1:21" ht="15" hidden="1" customHeight="1" x14ac:dyDescent="0.3">
      <c r="A58" s="161"/>
      <c r="B58" s="505"/>
      <c r="C58" s="491"/>
      <c r="D58" s="491"/>
      <c r="E58" s="506"/>
      <c r="F58" s="492"/>
      <c r="G58" s="492"/>
      <c r="H58" s="492"/>
      <c r="I58" s="492"/>
      <c r="J58" s="491"/>
      <c r="K58" s="488"/>
      <c r="L58" s="489"/>
      <c r="M58" s="491"/>
      <c r="N58" s="495"/>
      <c r="O58" s="487"/>
      <c r="P58" s="503"/>
      <c r="Q58" s="526"/>
      <c r="R58" s="529"/>
      <c r="S58" s="523"/>
      <c r="T58" s="523"/>
      <c r="U58" s="532"/>
    </row>
    <row r="59" spans="1:21" ht="15" hidden="1" customHeight="1" x14ac:dyDescent="0.3">
      <c r="A59" s="161"/>
      <c r="B59" s="505"/>
      <c r="C59" s="491"/>
      <c r="D59" s="491"/>
      <c r="E59" s="506"/>
      <c r="F59" s="492"/>
      <c r="G59" s="492"/>
      <c r="H59" s="492"/>
      <c r="I59" s="492"/>
      <c r="J59" s="491"/>
      <c r="K59" s="488"/>
      <c r="L59" s="489"/>
      <c r="M59" s="491"/>
      <c r="N59" s="495"/>
      <c r="O59" s="487"/>
      <c r="P59" s="504"/>
      <c r="Q59" s="526"/>
      <c r="R59" s="529"/>
      <c r="S59" s="523"/>
      <c r="T59" s="523"/>
      <c r="U59" s="532"/>
    </row>
    <row r="60" spans="1:21" ht="15" hidden="1" customHeight="1" x14ac:dyDescent="0.3">
      <c r="A60" s="161"/>
      <c r="B60" s="505"/>
      <c r="C60" s="491"/>
      <c r="D60" s="491"/>
      <c r="E60" s="506"/>
      <c r="F60" s="492"/>
      <c r="G60" s="492"/>
      <c r="H60" s="492"/>
      <c r="I60" s="492"/>
      <c r="J60" s="491"/>
      <c r="K60" s="488"/>
      <c r="L60" s="489"/>
      <c r="M60" s="491"/>
      <c r="N60" s="495"/>
      <c r="O60" s="487"/>
      <c r="P60" s="502"/>
      <c r="Q60" s="526"/>
      <c r="R60" s="529"/>
      <c r="S60" s="523"/>
      <c r="T60" s="523"/>
      <c r="U60" s="532"/>
    </row>
    <row r="61" spans="1:21" ht="15" hidden="1" customHeight="1" x14ac:dyDescent="0.3">
      <c r="A61" s="161"/>
      <c r="B61" s="505"/>
      <c r="C61" s="491"/>
      <c r="D61" s="491"/>
      <c r="E61" s="506"/>
      <c r="F61" s="492"/>
      <c r="G61" s="492"/>
      <c r="H61" s="492"/>
      <c r="I61" s="492"/>
      <c r="J61" s="491"/>
      <c r="K61" s="488"/>
      <c r="L61" s="489"/>
      <c r="M61" s="491"/>
      <c r="N61" s="495"/>
      <c r="O61" s="487"/>
      <c r="P61" s="503"/>
      <c r="Q61" s="526"/>
      <c r="R61" s="529"/>
      <c r="S61" s="523"/>
      <c r="T61" s="523"/>
      <c r="U61" s="532"/>
    </row>
    <row r="62" spans="1:21" ht="15" hidden="1" customHeight="1" x14ac:dyDescent="0.3">
      <c r="A62" s="161"/>
      <c r="B62" s="505"/>
      <c r="C62" s="491"/>
      <c r="D62" s="491"/>
      <c r="E62" s="506"/>
      <c r="F62" s="492"/>
      <c r="G62" s="492"/>
      <c r="H62" s="492"/>
      <c r="I62" s="492"/>
      <c r="J62" s="491"/>
      <c r="K62" s="488"/>
      <c r="L62" s="489"/>
      <c r="M62" s="491"/>
      <c r="N62" s="495"/>
      <c r="O62" s="487"/>
      <c r="P62" s="503"/>
      <c r="Q62" s="526"/>
      <c r="R62" s="529"/>
      <c r="S62" s="523"/>
      <c r="T62" s="523"/>
      <c r="U62" s="532"/>
    </row>
    <row r="63" spans="1:21" ht="23.25" customHeight="1" x14ac:dyDescent="0.3">
      <c r="A63" s="161"/>
      <c r="B63" s="505"/>
      <c r="C63" s="491"/>
      <c r="D63" s="491"/>
      <c r="E63" s="506"/>
      <c r="F63" s="492"/>
      <c r="G63" s="492"/>
      <c r="H63" s="492"/>
      <c r="I63" s="492"/>
      <c r="J63" s="491"/>
      <c r="K63" s="488"/>
      <c r="L63" s="489"/>
      <c r="M63" s="491"/>
      <c r="N63" s="495"/>
      <c r="O63" s="487"/>
      <c r="P63" s="503"/>
      <c r="Q63" s="526"/>
      <c r="R63" s="529"/>
      <c r="S63" s="523"/>
      <c r="T63" s="523"/>
      <c r="U63" s="532"/>
    </row>
    <row r="64" spans="1:21" ht="9" customHeight="1" x14ac:dyDescent="0.3">
      <c r="A64" s="161"/>
      <c r="B64" s="505"/>
      <c r="C64" s="491"/>
      <c r="D64" s="491"/>
      <c r="E64" s="506"/>
      <c r="F64" s="492"/>
      <c r="G64" s="492"/>
      <c r="H64" s="492"/>
      <c r="I64" s="492"/>
      <c r="J64" s="491"/>
      <c r="K64" s="488"/>
      <c r="L64" s="489"/>
      <c r="M64" s="493"/>
      <c r="N64" s="495"/>
      <c r="O64" s="487"/>
      <c r="P64" s="504"/>
      <c r="Q64" s="527"/>
      <c r="R64" s="530"/>
      <c r="S64" s="524"/>
      <c r="T64" s="524"/>
      <c r="U64" s="533"/>
    </row>
    <row r="65" spans="1:21" ht="16.5" x14ac:dyDescent="0.3">
      <c r="A65" s="161"/>
      <c r="B65" s="501" t="s">
        <v>53</v>
      </c>
      <c r="C65" s="501"/>
      <c r="D65" s="501"/>
      <c r="E65" s="501"/>
      <c r="F65" s="501"/>
      <c r="G65" s="501"/>
      <c r="H65" s="501"/>
      <c r="I65" s="501"/>
      <c r="J65" s="501"/>
      <c r="K65" s="501"/>
      <c r="L65" s="501"/>
      <c r="M65" s="501"/>
      <c r="N65" s="501"/>
      <c r="O65" s="501"/>
      <c r="P65" s="501"/>
      <c r="Q65" s="174">
        <f>R65+S65+T65</f>
        <v>1191844346</v>
      </c>
      <c r="R65" s="175">
        <f>SUM(R34+R30+R25+R18+R17+R16+R16+R10+R9)</f>
        <v>876844346</v>
      </c>
      <c r="S65" s="175">
        <f>SUBTOTAL(9,S55:S64)</f>
        <v>0</v>
      </c>
      <c r="T65" s="175">
        <f>T30+T25+T18+T17+T16+T10+T9</f>
        <v>315000000</v>
      </c>
      <c r="U65" s="175">
        <f>U30+U25+U18+U17+U16</f>
        <v>986658537</v>
      </c>
    </row>
    <row r="67" spans="1:21" x14ac:dyDescent="0.25">
      <c r="B67" s="243"/>
      <c r="C67" t="s">
        <v>388</v>
      </c>
    </row>
  </sheetData>
  <mergeCells count="95">
    <mergeCell ref="U30:U64"/>
    <mergeCell ref="N1:U1"/>
    <mergeCell ref="B4:U4"/>
    <mergeCell ref="B5:U5"/>
    <mergeCell ref="B6:U6"/>
    <mergeCell ref="B7:J7"/>
    <mergeCell ref="L7:P7"/>
    <mergeCell ref="Q7:T7"/>
    <mergeCell ref="U7:U8"/>
    <mergeCell ref="R2:U2"/>
    <mergeCell ref="B20:U20"/>
    <mergeCell ref="B21:U21"/>
    <mergeCell ref="G25:G26"/>
    <mergeCell ref="H27:H28"/>
    <mergeCell ref="I27:I28"/>
    <mergeCell ref="I25:I26"/>
    <mergeCell ref="B22:U22"/>
    <mergeCell ref="B23:J23"/>
    <mergeCell ref="L23:P23"/>
    <mergeCell ref="P30:P39"/>
    <mergeCell ref="T30:T64"/>
    <mergeCell ref="S30:S64"/>
    <mergeCell ref="Q30:Q64"/>
    <mergeCell ref="R30:R64"/>
    <mergeCell ref="P40:P44"/>
    <mergeCell ref="P45:P49"/>
    <mergeCell ref="P50:P54"/>
    <mergeCell ref="P55:P59"/>
    <mergeCell ref="P60:P64"/>
    <mergeCell ref="C27:C28"/>
    <mergeCell ref="D27:D28"/>
    <mergeCell ref="M25:M29"/>
    <mergeCell ref="B9:B10"/>
    <mergeCell ref="K9:K10"/>
    <mergeCell ref="B11:U11"/>
    <mergeCell ref="B12:U12"/>
    <mergeCell ref="B13:U13"/>
    <mergeCell ref="B14:J14"/>
    <mergeCell ref="L14:P14"/>
    <mergeCell ref="Q14:T14"/>
    <mergeCell ref="U18:U19"/>
    <mergeCell ref="P18:P19"/>
    <mergeCell ref="Q18:Q19"/>
    <mergeCell ref="R18:R19"/>
    <mergeCell ref="S18:S19"/>
    <mergeCell ref="B16:B17"/>
    <mergeCell ref="B18:B19"/>
    <mergeCell ref="L18:L19"/>
    <mergeCell ref="M18:M19"/>
    <mergeCell ref="N18:N19"/>
    <mergeCell ref="O18:O19"/>
    <mergeCell ref="T18:T19"/>
    <mergeCell ref="U14:U15"/>
    <mergeCell ref="Q23:T23"/>
    <mergeCell ref="U23:U24"/>
    <mergeCell ref="U25:U29"/>
    <mergeCell ref="R25:R29"/>
    <mergeCell ref="S25:S29"/>
    <mergeCell ref="Q25:Q29"/>
    <mergeCell ref="T25:T29"/>
    <mergeCell ref="N27:N28"/>
    <mergeCell ref="J25:J26"/>
    <mergeCell ref="K25:K26"/>
    <mergeCell ref="K27:K28"/>
    <mergeCell ref="B65:P65"/>
    <mergeCell ref="P25:P29"/>
    <mergeCell ref="D30:D64"/>
    <mergeCell ref="B25:B64"/>
    <mergeCell ref="E30:E64"/>
    <mergeCell ref="F30:F64"/>
    <mergeCell ref="E27:E28"/>
    <mergeCell ref="F27:F28"/>
    <mergeCell ref="G27:G28"/>
    <mergeCell ref="J27:J28"/>
    <mergeCell ref="L25:L29"/>
    <mergeCell ref="O27:O28"/>
    <mergeCell ref="O25:O26"/>
    <mergeCell ref="C25:C26"/>
    <mergeCell ref="D25:D26"/>
    <mergeCell ref="E25:E26"/>
    <mergeCell ref="F25:F26"/>
    <mergeCell ref="N25:N26"/>
    <mergeCell ref="H25:H26"/>
    <mergeCell ref="O30:O33"/>
    <mergeCell ref="O34:O64"/>
    <mergeCell ref="K30:K64"/>
    <mergeCell ref="L30:L64"/>
    <mergeCell ref="C30:C64"/>
    <mergeCell ref="I30:I64"/>
    <mergeCell ref="M30:M64"/>
    <mergeCell ref="N30:N33"/>
    <mergeCell ref="N34:N64"/>
    <mergeCell ref="G30:G64"/>
    <mergeCell ref="H30:H64"/>
    <mergeCell ref="J30:J64"/>
  </mergeCells>
  <conditionalFormatting sqref="E9:H9">
    <cfRule type="expression" dxfId="339" priority="21" stopIfTrue="1">
      <formula>+IF((#REF!+#REF!+#REF!+#REF!+#REF!)&lt;&gt;$K9,1,0)</formula>
    </cfRule>
  </conditionalFormatting>
  <conditionalFormatting sqref="E9:H9">
    <cfRule type="expression" dxfId="338" priority="20" stopIfTrue="1">
      <formula>+IF((#REF!+#REF!+#REF!+#REF!+#REF!)&lt;&gt;$K9,1,0)</formula>
    </cfRule>
  </conditionalFormatting>
  <conditionalFormatting sqref="O9">
    <cfRule type="expression" dxfId="337" priority="19" stopIfTrue="1">
      <formula>+IF((#REF!+#REF!+#REF!+#REF!+#REF!)&lt;&gt;$K9,1,0)</formula>
    </cfRule>
  </conditionalFormatting>
  <conditionalFormatting sqref="O9">
    <cfRule type="expression" dxfId="336" priority="18" stopIfTrue="1">
      <formula>+IF((#REF!+#REF!+#REF!+#REF!+#REF!)&lt;&gt;$K9,1,0)</formula>
    </cfRule>
  </conditionalFormatting>
  <conditionalFormatting sqref="O9">
    <cfRule type="expression" dxfId="335" priority="17" stopIfTrue="1">
      <formula>+IF((#REF!+#REF!+#REF!+#REF!+#REF!)&lt;&gt;$K9,1,0)</formula>
    </cfRule>
  </conditionalFormatting>
  <conditionalFormatting sqref="E17:H17">
    <cfRule type="expression" dxfId="334" priority="16" stopIfTrue="1">
      <formula>+IF((#REF!+#REF!+#REF!+#REF!+#REF!)&lt;&gt;$K17,1,0)</formula>
    </cfRule>
  </conditionalFormatting>
  <conditionalFormatting sqref="E18:H18">
    <cfRule type="expression" dxfId="333" priority="15" stopIfTrue="1">
      <formula>+IF((#REF!+#REF!+#REF!+#REF!+#REF!)&lt;&gt;$K18,1,0)</formula>
    </cfRule>
  </conditionalFormatting>
  <conditionalFormatting sqref="O18">
    <cfRule type="expression" dxfId="332" priority="14" stopIfTrue="1">
      <formula>+IF((#REF!+#REF!+#REF!+#REF!+#REF!)&lt;&gt;$K19,1,0)</formula>
    </cfRule>
  </conditionalFormatting>
  <conditionalFormatting sqref="O16">
    <cfRule type="expression" dxfId="331" priority="13" stopIfTrue="1">
      <formula>+IF((#REF!+#REF!+#REF!+#REF!+#REF!)&lt;&gt;$K16,1,0)</formula>
    </cfRule>
  </conditionalFormatting>
  <conditionalFormatting sqref="E25:H26">
    <cfRule type="expression" dxfId="330" priority="6" stopIfTrue="1">
      <formula>+IF((#REF!+#REF!+#REF!+#REF!+#REF!)&lt;&gt;$K25,1,0)</formula>
    </cfRule>
  </conditionalFormatting>
  <conditionalFormatting sqref="E25:H26">
    <cfRule type="expression" dxfId="329" priority="5" stopIfTrue="1">
      <formula>+IF((#REF!+#REF!+#REF!+#REF!+#REF!)&lt;&gt;$K25,1,0)</formula>
    </cfRule>
  </conditionalFormatting>
  <conditionalFormatting sqref="F27:F28">
    <cfRule type="expression" dxfId="328" priority="2" stopIfTrue="1">
      <formula>+IF((#REF!+#REF!+#REF!+#REF!+#REF!)&lt;&gt;$K27,1,0)</formula>
    </cfRule>
  </conditionalFormatting>
  <conditionalFormatting sqref="F27:F28">
    <cfRule type="expression" dxfId="327" priority="1" stopIfTrue="1">
      <formula>+IF((#REF!+#REF!+#REF!+#REF!+#REF!)&lt;&gt;$K27,1,0)</formula>
    </cfRule>
  </conditionalFormatting>
  <conditionalFormatting sqref="E27:E28">
    <cfRule type="expression" dxfId="326" priority="4" stopIfTrue="1">
      <formula>+IF((#REF!+#REF!+#REF!+#REF!+#REF!)&lt;&gt;$K27,1,0)</formula>
    </cfRule>
  </conditionalFormatting>
  <conditionalFormatting sqref="E27:E28">
    <cfRule type="expression" dxfId="325" priority="3" stopIfTrue="1">
      <formula>+IF((#REF!+#REF!+#REF!+#REF!+#REF!)&lt;&gt;$K27,1,0)</formula>
    </cfRule>
  </conditionalFormatting>
  <dataValidations count="4">
    <dataValidation type="list" allowBlank="1" showInputMessage="1" showErrorMessage="1" sqref="J18:J19 J16 P16 P18">
      <formula1>#REF!</formula1>
    </dataValidation>
    <dataValidation type="list" allowBlank="1" showInputMessage="1" showErrorMessage="1" sqref="P9:P10 J17 P17 K16:K19 J9:J10 K9">
      <formula1>#REF!</formula1>
    </dataValidation>
    <dataValidation type="list" allowBlank="1" showInputMessage="1" showErrorMessage="1" sqref="J25:J26">
      <formula1>$T$31:$T$39</formula1>
    </dataValidation>
    <dataValidation type="list" allowBlank="1" showInputMessage="1" showErrorMessage="1" sqref="K25:K26">
      <formula1>$H$25:$H$29</formula1>
    </dataValidation>
  </dataValidations>
  <pageMargins left="0.7" right="0.7" top="0.75" bottom="0.75" header="0.3" footer="0.3"/>
  <pageSetup orientation="portrait" r:id="rId1"/>
  <ignoredErrors>
    <ignoredError sqref="S65" formulaRange="1"/>
    <ignoredError sqref="Q16:Q18 Q9:Q10 Q25 R9 Q30:R30 U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Y71"/>
  <sheetViews>
    <sheetView tabSelected="1" topLeftCell="S1" zoomScale="80" zoomScaleNormal="80" workbookViewId="0">
      <selection activeCell="V8" sqref="V8:X8"/>
    </sheetView>
  </sheetViews>
  <sheetFormatPr baseColWidth="10" defaultRowHeight="15" x14ac:dyDescent="0.25"/>
  <cols>
    <col min="2" max="2" width="21.42578125" customWidth="1"/>
    <col min="3" max="3" width="26.140625" customWidth="1"/>
    <col min="4" max="4" width="19" customWidth="1"/>
    <col min="5" max="5" width="7" customWidth="1"/>
    <col min="6" max="7" width="6.5703125" customWidth="1"/>
    <col min="8" max="8" width="5.85546875" customWidth="1"/>
    <col min="11" max="11" width="28.140625" customWidth="1"/>
    <col min="12" max="12" width="6.140625" customWidth="1"/>
    <col min="13" max="13" width="27.28515625" customWidth="1"/>
    <col min="14" max="14" width="19.85546875" customWidth="1"/>
    <col min="15" max="15" width="9.7109375" customWidth="1"/>
    <col min="16" max="16" width="26.5703125" customWidth="1"/>
    <col min="17" max="17" width="18.85546875" customWidth="1"/>
    <col min="18" max="18" width="18.28515625" customWidth="1"/>
    <col min="19" max="19" width="16.28515625" customWidth="1"/>
    <col min="20" max="20" width="16" customWidth="1"/>
    <col min="21" max="21" width="19.42578125" customWidth="1"/>
    <col min="22" max="23" width="60.7109375" customWidth="1"/>
    <col min="24" max="24" width="100.7109375" customWidth="1"/>
    <col min="25" max="25" width="32.5703125" customWidth="1"/>
  </cols>
  <sheetData>
    <row r="1" spans="1:25" ht="15.75" x14ac:dyDescent="0.25">
      <c r="B1" s="560" t="s">
        <v>390</v>
      </c>
      <c r="C1" s="560"/>
      <c r="D1" s="560"/>
      <c r="E1" s="560"/>
      <c r="F1" s="560"/>
      <c r="G1" s="560"/>
      <c r="H1" s="560"/>
      <c r="I1" s="560"/>
      <c r="J1" s="560"/>
      <c r="K1" s="560"/>
      <c r="L1" s="560"/>
      <c r="M1" s="560"/>
      <c r="N1" s="560"/>
      <c r="O1" s="560"/>
      <c r="P1" s="560"/>
      <c r="Q1" s="560"/>
      <c r="R1" s="560"/>
      <c r="S1" s="560"/>
      <c r="T1" s="560"/>
      <c r="U1" s="560"/>
    </row>
    <row r="2" spans="1:25" ht="15.75" x14ac:dyDescent="0.25">
      <c r="B2" s="560" t="s">
        <v>389</v>
      </c>
      <c r="C2" s="560"/>
      <c r="D2" s="560"/>
      <c r="E2" s="560"/>
      <c r="F2" s="560"/>
      <c r="G2" s="560"/>
      <c r="H2" s="560"/>
      <c r="I2" s="560"/>
      <c r="J2" s="560"/>
      <c r="K2" s="560"/>
      <c r="L2" s="560"/>
      <c r="M2" s="560"/>
      <c r="N2" s="560"/>
      <c r="O2" s="560"/>
      <c r="P2" s="560"/>
      <c r="Q2" s="560"/>
      <c r="R2" s="560"/>
      <c r="S2" s="560"/>
      <c r="T2" s="560"/>
      <c r="U2" s="560"/>
    </row>
    <row r="3" spans="1:25" ht="15.75" x14ac:dyDescent="0.25">
      <c r="N3" s="534" t="s">
        <v>0</v>
      </c>
      <c r="O3" s="534"/>
      <c r="P3" s="534"/>
      <c r="Q3" s="534"/>
      <c r="R3" s="534"/>
      <c r="S3" s="534"/>
      <c r="T3" s="534"/>
      <c r="U3" s="534"/>
    </row>
    <row r="4" spans="1:25" ht="18.75" x14ac:dyDescent="0.3">
      <c r="R4" s="535" t="s">
        <v>326</v>
      </c>
      <c r="S4" s="535"/>
      <c r="T4" s="535"/>
      <c r="U4" s="535"/>
    </row>
    <row r="6" spans="1:25" ht="16.5" x14ac:dyDescent="0.3">
      <c r="A6" s="161"/>
      <c r="B6" s="521" t="s">
        <v>171</v>
      </c>
      <c r="C6" s="521"/>
      <c r="D6" s="521"/>
      <c r="E6" s="521"/>
      <c r="F6" s="521"/>
      <c r="G6" s="521"/>
      <c r="H6" s="521"/>
      <c r="I6" s="521"/>
      <c r="J6" s="521"/>
      <c r="K6" s="521"/>
      <c r="L6" s="521"/>
      <c r="M6" s="521"/>
      <c r="N6" s="521"/>
      <c r="O6" s="521"/>
      <c r="P6" s="521"/>
      <c r="Q6" s="521"/>
      <c r="R6" s="521"/>
      <c r="S6" s="521"/>
      <c r="T6" s="521"/>
      <c r="U6" s="521"/>
    </row>
    <row r="7" spans="1:25" ht="16.5" x14ac:dyDescent="0.3">
      <c r="A7" s="161"/>
      <c r="B7" s="521" t="s">
        <v>172</v>
      </c>
      <c r="C7" s="521"/>
      <c r="D7" s="521"/>
      <c r="E7" s="521"/>
      <c r="F7" s="521"/>
      <c r="G7" s="521"/>
      <c r="H7" s="521"/>
      <c r="I7" s="521"/>
      <c r="J7" s="521"/>
      <c r="K7" s="521"/>
      <c r="L7" s="521"/>
      <c r="M7" s="521"/>
      <c r="N7" s="521"/>
      <c r="O7" s="521"/>
      <c r="P7" s="521"/>
      <c r="Q7" s="521"/>
      <c r="R7" s="521"/>
      <c r="S7" s="521"/>
      <c r="T7" s="521"/>
      <c r="U7" s="521"/>
    </row>
    <row r="8" spans="1:25" ht="16.5" x14ac:dyDescent="0.3">
      <c r="A8" s="161"/>
      <c r="B8" s="521" t="s">
        <v>173</v>
      </c>
      <c r="C8" s="521"/>
      <c r="D8" s="521"/>
      <c r="E8" s="521"/>
      <c r="F8" s="521"/>
      <c r="G8" s="521"/>
      <c r="H8" s="521"/>
      <c r="I8" s="521"/>
      <c r="J8" s="521"/>
      <c r="K8" s="521"/>
      <c r="L8" s="521"/>
      <c r="M8" s="521"/>
      <c r="N8" s="521"/>
      <c r="O8" s="521"/>
      <c r="P8" s="521"/>
      <c r="Q8" s="521"/>
      <c r="R8" s="521"/>
      <c r="S8" s="521"/>
      <c r="T8" s="521"/>
      <c r="U8" s="521"/>
      <c r="V8" s="545" t="s">
        <v>725</v>
      </c>
      <c r="W8" s="545"/>
      <c r="X8" s="545"/>
    </row>
    <row r="9" spans="1:25" ht="22.5" customHeight="1" x14ac:dyDescent="0.3">
      <c r="A9" s="161"/>
      <c r="B9" s="515" t="s">
        <v>3</v>
      </c>
      <c r="C9" s="515"/>
      <c r="D9" s="515"/>
      <c r="E9" s="515"/>
      <c r="F9" s="515"/>
      <c r="G9" s="515"/>
      <c r="H9" s="515"/>
      <c r="I9" s="515"/>
      <c r="J9" s="515"/>
      <c r="K9" s="233"/>
      <c r="L9" s="561" t="s">
        <v>72</v>
      </c>
      <c r="M9" s="561"/>
      <c r="N9" s="561"/>
      <c r="O9" s="561"/>
      <c r="P9" s="561"/>
      <c r="Q9" s="509" t="s">
        <v>4</v>
      </c>
      <c r="R9" s="509"/>
      <c r="S9" s="509"/>
      <c r="T9" s="509"/>
      <c r="U9" s="520" t="s">
        <v>40</v>
      </c>
      <c r="V9" s="553" t="s">
        <v>410</v>
      </c>
      <c r="W9" s="554"/>
      <c r="X9" s="555" t="s">
        <v>445</v>
      </c>
    </row>
    <row r="10" spans="1:25" ht="57.75" customHeight="1" x14ac:dyDescent="0.3">
      <c r="A10" s="161"/>
      <c r="B10" s="231" t="s">
        <v>51</v>
      </c>
      <c r="C10" s="231" t="s">
        <v>12</v>
      </c>
      <c r="D10" s="231" t="s">
        <v>52</v>
      </c>
      <c r="E10" s="231" t="s">
        <v>24</v>
      </c>
      <c r="F10" s="231" t="s">
        <v>25</v>
      </c>
      <c r="G10" s="231" t="s">
        <v>26</v>
      </c>
      <c r="H10" s="231" t="s">
        <v>27</v>
      </c>
      <c r="I10" s="231" t="s">
        <v>28</v>
      </c>
      <c r="J10" s="231" t="s">
        <v>29</v>
      </c>
      <c r="K10" s="231" t="s">
        <v>47</v>
      </c>
      <c r="L10" s="266" t="s">
        <v>14</v>
      </c>
      <c r="M10" s="266" t="s">
        <v>79</v>
      </c>
      <c r="N10" s="266" t="s">
        <v>15</v>
      </c>
      <c r="O10" s="266" t="s">
        <v>16</v>
      </c>
      <c r="P10" s="341" t="s">
        <v>48</v>
      </c>
      <c r="Q10" s="232" t="s">
        <v>17</v>
      </c>
      <c r="R10" s="232" t="s">
        <v>18</v>
      </c>
      <c r="S10" s="232" t="s">
        <v>19</v>
      </c>
      <c r="T10" s="232" t="s">
        <v>361</v>
      </c>
      <c r="U10" s="520"/>
      <c r="V10" s="267" t="s">
        <v>408</v>
      </c>
      <c r="W10" s="267" t="s">
        <v>409</v>
      </c>
      <c r="X10" s="556"/>
    </row>
    <row r="11" spans="1:25" ht="117" customHeight="1" x14ac:dyDescent="0.3">
      <c r="A11" s="161"/>
      <c r="B11" s="518" t="s">
        <v>174</v>
      </c>
      <c r="C11" s="213" t="s">
        <v>175</v>
      </c>
      <c r="D11" s="236" t="s">
        <v>176</v>
      </c>
      <c r="E11" s="229">
        <v>24</v>
      </c>
      <c r="F11" s="229">
        <v>24</v>
      </c>
      <c r="G11" s="229">
        <v>24</v>
      </c>
      <c r="H11" s="229">
        <v>24</v>
      </c>
      <c r="I11" s="230">
        <f>SUM(E11:H11)</f>
        <v>96</v>
      </c>
      <c r="J11" s="236" t="s">
        <v>177</v>
      </c>
      <c r="K11" s="500" t="s">
        <v>30</v>
      </c>
      <c r="L11" s="230">
        <v>1</v>
      </c>
      <c r="M11" s="234" t="s">
        <v>178</v>
      </c>
      <c r="N11" s="226" t="s">
        <v>528</v>
      </c>
      <c r="O11" s="227">
        <v>24</v>
      </c>
      <c r="P11" s="226" t="s">
        <v>180</v>
      </c>
      <c r="Q11" s="65">
        <f>R11+S11+T11</f>
        <v>78336000</v>
      </c>
      <c r="R11" s="139">
        <f>78336000-26112000</f>
        <v>52224000</v>
      </c>
      <c r="S11" s="67">
        <v>0</v>
      </c>
      <c r="T11" s="67">
        <v>26112000</v>
      </c>
      <c r="U11" s="140">
        <v>0</v>
      </c>
      <c r="V11" s="473" t="s">
        <v>729</v>
      </c>
      <c r="W11" s="473" t="s">
        <v>727</v>
      </c>
      <c r="X11" s="473" t="s">
        <v>744</v>
      </c>
      <c r="Y11" s="472" t="s">
        <v>728</v>
      </c>
    </row>
    <row r="12" spans="1:25" ht="150.75" customHeight="1" x14ac:dyDescent="0.3">
      <c r="A12" s="161"/>
      <c r="B12" s="518"/>
      <c r="C12" s="235" t="s">
        <v>181</v>
      </c>
      <c r="D12" s="236" t="s">
        <v>182</v>
      </c>
      <c r="E12" s="229">
        <v>0</v>
      </c>
      <c r="F12" s="141">
        <v>0.25</v>
      </c>
      <c r="G12" s="141">
        <v>0.75</v>
      </c>
      <c r="H12" s="141">
        <v>0</v>
      </c>
      <c r="I12" s="131">
        <v>1</v>
      </c>
      <c r="J12" s="236" t="s">
        <v>177</v>
      </c>
      <c r="K12" s="500"/>
      <c r="L12" s="230">
        <v>2</v>
      </c>
      <c r="M12" s="74" t="s">
        <v>183</v>
      </c>
      <c r="N12" s="76" t="s">
        <v>184</v>
      </c>
      <c r="O12" s="225">
        <v>0.25</v>
      </c>
      <c r="P12" s="226" t="s">
        <v>180</v>
      </c>
      <c r="Q12" s="65">
        <f>R12+S12+T12</f>
        <v>0</v>
      </c>
      <c r="R12" s="139">
        <v>0</v>
      </c>
      <c r="S12" s="67">
        <v>0</v>
      </c>
      <c r="T12" s="67">
        <v>0</v>
      </c>
      <c r="U12" s="140">
        <v>0</v>
      </c>
      <c r="V12" s="473" t="s">
        <v>681</v>
      </c>
      <c r="W12" s="473" t="s">
        <v>730</v>
      </c>
      <c r="X12" s="473" t="s">
        <v>731</v>
      </c>
      <c r="Y12" s="472" t="s">
        <v>732</v>
      </c>
    </row>
    <row r="13" spans="1:25" ht="16.5" x14ac:dyDescent="0.3">
      <c r="A13" s="161"/>
      <c r="B13" s="521" t="s">
        <v>23</v>
      </c>
      <c r="C13" s="521"/>
      <c r="D13" s="521"/>
      <c r="E13" s="521"/>
      <c r="F13" s="521"/>
      <c r="G13" s="521"/>
      <c r="H13" s="521"/>
      <c r="I13" s="521"/>
      <c r="J13" s="521"/>
      <c r="K13" s="521"/>
      <c r="L13" s="521"/>
      <c r="M13" s="521"/>
      <c r="N13" s="521"/>
      <c r="O13" s="521"/>
      <c r="P13" s="521"/>
      <c r="Q13" s="521"/>
      <c r="R13" s="521"/>
      <c r="S13" s="521"/>
      <c r="T13" s="521"/>
      <c r="U13" s="521"/>
      <c r="V13" s="549"/>
      <c r="W13" s="549"/>
      <c r="X13" s="549"/>
    </row>
    <row r="14" spans="1:25" ht="16.5" x14ac:dyDescent="0.3">
      <c r="A14" s="161"/>
      <c r="B14" s="521" t="s">
        <v>46</v>
      </c>
      <c r="C14" s="521"/>
      <c r="D14" s="521"/>
      <c r="E14" s="521"/>
      <c r="F14" s="521"/>
      <c r="G14" s="521"/>
      <c r="H14" s="521"/>
      <c r="I14" s="521"/>
      <c r="J14" s="521"/>
      <c r="K14" s="521"/>
      <c r="L14" s="521"/>
      <c r="M14" s="521"/>
      <c r="N14" s="521"/>
      <c r="O14" s="521"/>
      <c r="P14" s="521"/>
      <c r="Q14" s="521"/>
      <c r="R14" s="521"/>
      <c r="S14" s="521"/>
      <c r="T14" s="521"/>
      <c r="U14" s="521"/>
      <c r="V14" s="549"/>
      <c r="W14" s="549"/>
      <c r="X14" s="549"/>
    </row>
    <row r="15" spans="1:25" ht="16.5" x14ac:dyDescent="0.3">
      <c r="A15" s="161"/>
      <c r="B15" s="521" t="s">
        <v>185</v>
      </c>
      <c r="C15" s="521"/>
      <c r="D15" s="521"/>
      <c r="E15" s="521"/>
      <c r="F15" s="521"/>
      <c r="G15" s="521"/>
      <c r="H15" s="521"/>
      <c r="I15" s="521"/>
      <c r="J15" s="521"/>
      <c r="K15" s="521"/>
      <c r="L15" s="521"/>
      <c r="M15" s="521"/>
      <c r="N15" s="521"/>
      <c r="O15" s="521"/>
      <c r="P15" s="521"/>
      <c r="Q15" s="521"/>
      <c r="R15" s="521"/>
      <c r="S15" s="521"/>
      <c r="T15" s="521"/>
      <c r="U15" s="521"/>
      <c r="V15" s="549"/>
      <c r="W15" s="549"/>
      <c r="X15" s="549"/>
    </row>
    <row r="16" spans="1:25" ht="16.5" x14ac:dyDescent="0.3">
      <c r="A16" s="161"/>
      <c r="B16" s="515" t="s">
        <v>3</v>
      </c>
      <c r="C16" s="515"/>
      <c r="D16" s="515"/>
      <c r="E16" s="515"/>
      <c r="F16" s="515"/>
      <c r="G16" s="515"/>
      <c r="H16" s="515"/>
      <c r="I16" s="515"/>
      <c r="J16" s="515"/>
      <c r="K16" s="233"/>
      <c r="L16" s="515" t="s">
        <v>72</v>
      </c>
      <c r="M16" s="515"/>
      <c r="N16" s="515"/>
      <c r="O16" s="515"/>
      <c r="P16" s="515"/>
      <c r="Q16" s="509" t="s">
        <v>186</v>
      </c>
      <c r="R16" s="509"/>
      <c r="S16" s="509"/>
      <c r="T16" s="509"/>
      <c r="U16" s="520" t="s">
        <v>40</v>
      </c>
      <c r="V16" s="549"/>
      <c r="W16" s="549"/>
      <c r="X16" s="549"/>
    </row>
    <row r="17" spans="1:25" ht="67.5" x14ac:dyDescent="0.3">
      <c r="A17" s="161"/>
      <c r="B17" s="231" t="s">
        <v>51</v>
      </c>
      <c r="C17" s="231" t="s">
        <v>12</v>
      </c>
      <c r="D17" s="231" t="s">
        <v>52</v>
      </c>
      <c r="E17" s="231" t="s">
        <v>24</v>
      </c>
      <c r="F17" s="231" t="s">
        <v>25</v>
      </c>
      <c r="G17" s="231" t="s">
        <v>26</v>
      </c>
      <c r="H17" s="231" t="s">
        <v>27</v>
      </c>
      <c r="I17" s="231" t="s">
        <v>28</v>
      </c>
      <c r="J17" s="231" t="s">
        <v>29</v>
      </c>
      <c r="K17" s="231" t="s">
        <v>47</v>
      </c>
      <c r="L17" s="232" t="s">
        <v>14</v>
      </c>
      <c r="M17" s="232" t="s">
        <v>79</v>
      </c>
      <c r="N17" s="232" t="s">
        <v>15</v>
      </c>
      <c r="O17" s="232" t="s">
        <v>16</v>
      </c>
      <c r="P17" s="231" t="s">
        <v>48</v>
      </c>
      <c r="Q17" s="232" t="s">
        <v>17</v>
      </c>
      <c r="R17" s="232" t="s">
        <v>18</v>
      </c>
      <c r="S17" s="232" t="s">
        <v>19</v>
      </c>
      <c r="T17" s="232" t="s">
        <v>361</v>
      </c>
      <c r="U17" s="520"/>
      <c r="V17" s="549"/>
      <c r="W17" s="549"/>
      <c r="X17" s="549"/>
    </row>
    <row r="18" spans="1:25" ht="237.75" customHeight="1" x14ac:dyDescent="0.3">
      <c r="A18" s="161"/>
      <c r="B18" s="517" t="s">
        <v>187</v>
      </c>
      <c r="C18" s="236" t="s">
        <v>188</v>
      </c>
      <c r="D18" s="236" t="s">
        <v>189</v>
      </c>
      <c r="E18" s="142">
        <v>1</v>
      </c>
      <c r="F18" s="142">
        <v>0</v>
      </c>
      <c r="G18" s="142">
        <v>1</v>
      </c>
      <c r="H18" s="142">
        <v>0</v>
      </c>
      <c r="I18" s="242">
        <f>SUM(E18:H18)</f>
        <v>2</v>
      </c>
      <c r="J18" s="236" t="s">
        <v>177</v>
      </c>
      <c r="K18" s="236" t="s">
        <v>30</v>
      </c>
      <c r="L18" s="380">
        <v>3</v>
      </c>
      <c r="M18" s="236" t="s">
        <v>190</v>
      </c>
      <c r="N18" s="236" t="s">
        <v>189</v>
      </c>
      <c r="O18" s="227">
        <v>1</v>
      </c>
      <c r="P18" s="236" t="s">
        <v>191</v>
      </c>
      <c r="Q18" s="228">
        <f>R18+S18+T18</f>
        <v>0</v>
      </c>
      <c r="R18" s="224">
        <v>0</v>
      </c>
      <c r="S18" s="224">
        <v>0</v>
      </c>
      <c r="T18" s="224">
        <v>0</v>
      </c>
      <c r="U18" s="224">
        <v>0</v>
      </c>
      <c r="V18" s="471" t="s">
        <v>682</v>
      </c>
      <c r="W18" s="471" t="s">
        <v>730</v>
      </c>
      <c r="X18" s="471" t="s">
        <v>733</v>
      </c>
      <c r="Y18" s="379" t="s">
        <v>734</v>
      </c>
    </row>
    <row r="19" spans="1:25" ht="174.75" customHeight="1" x14ac:dyDescent="0.3">
      <c r="A19" s="161"/>
      <c r="B19" s="517"/>
      <c r="C19" s="236" t="s">
        <v>192</v>
      </c>
      <c r="D19" s="236" t="s">
        <v>193</v>
      </c>
      <c r="E19" s="240">
        <v>27</v>
      </c>
      <c r="F19" s="240">
        <v>27</v>
      </c>
      <c r="G19" s="240">
        <v>27</v>
      </c>
      <c r="H19" s="240">
        <v>27</v>
      </c>
      <c r="I19" s="230">
        <v>27</v>
      </c>
      <c r="J19" s="236" t="s">
        <v>177</v>
      </c>
      <c r="K19" s="236" t="s">
        <v>113</v>
      </c>
      <c r="L19" s="230">
        <v>4</v>
      </c>
      <c r="M19" s="236" t="s">
        <v>194</v>
      </c>
      <c r="N19" s="236" t="s">
        <v>193</v>
      </c>
      <c r="O19" s="137">
        <f>E19</f>
        <v>27</v>
      </c>
      <c r="P19" s="236" t="s">
        <v>191</v>
      </c>
      <c r="Q19" s="228">
        <f>R19+S19+T19</f>
        <v>0</v>
      </c>
      <c r="R19" s="139">
        <v>0</v>
      </c>
      <c r="S19" s="224">
        <v>0</v>
      </c>
      <c r="T19" s="224">
        <v>0</v>
      </c>
      <c r="U19" s="237">
        <f>968658537-4000000</f>
        <v>964658537</v>
      </c>
      <c r="V19" s="471" t="s">
        <v>683</v>
      </c>
      <c r="W19" s="471" t="s">
        <v>735</v>
      </c>
      <c r="X19" s="471" t="s">
        <v>736</v>
      </c>
      <c r="Y19" s="379" t="s">
        <v>687</v>
      </c>
    </row>
    <row r="20" spans="1:25" ht="96.75" customHeight="1" x14ac:dyDescent="0.3">
      <c r="A20" s="161"/>
      <c r="B20" s="518" t="s">
        <v>195</v>
      </c>
      <c r="C20" s="236" t="s">
        <v>196</v>
      </c>
      <c r="D20" s="236" t="s">
        <v>197</v>
      </c>
      <c r="E20" s="240">
        <v>0</v>
      </c>
      <c r="F20" s="240">
        <v>1</v>
      </c>
      <c r="G20" s="240">
        <v>0</v>
      </c>
      <c r="H20" s="240">
        <v>0</v>
      </c>
      <c r="I20" s="244">
        <f>SUM(E20:H20)</f>
        <v>1</v>
      </c>
      <c r="J20" s="236" t="s">
        <v>177</v>
      </c>
      <c r="K20" s="236" t="s">
        <v>30</v>
      </c>
      <c r="L20" s="508">
        <v>5</v>
      </c>
      <c r="M20" s="500" t="s">
        <v>196</v>
      </c>
      <c r="N20" s="500" t="s">
        <v>198</v>
      </c>
      <c r="O20" s="519">
        <v>1</v>
      </c>
      <c r="P20" s="500" t="s">
        <v>199</v>
      </c>
      <c r="Q20" s="516">
        <f>R20+S20+T20</f>
        <v>37785600</v>
      </c>
      <c r="R20" s="511">
        <v>37785600</v>
      </c>
      <c r="S20" s="510">
        <v>0</v>
      </c>
      <c r="T20" s="510">
        <v>0</v>
      </c>
      <c r="U20" s="510">
        <v>0</v>
      </c>
      <c r="V20" s="542" t="s">
        <v>689</v>
      </c>
      <c r="W20" s="542" t="s">
        <v>643</v>
      </c>
      <c r="X20" s="546" t="s">
        <v>737</v>
      </c>
      <c r="Y20" s="538" t="s">
        <v>690</v>
      </c>
    </row>
    <row r="21" spans="1:25" ht="93" customHeight="1" x14ac:dyDescent="0.3">
      <c r="A21" s="161"/>
      <c r="B21" s="518"/>
      <c r="C21" s="236" t="s">
        <v>200</v>
      </c>
      <c r="D21" s="226" t="s">
        <v>201</v>
      </c>
      <c r="E21" s="229">
        <v>1</v>
      </c>
      <c r="F21" s="144">
        <v>0</v>
      </c>
      <c r="G21" s="144">
        <v>0</v>
      </c>
      <c r="H21" s="144">
        <v>0</v>
      </c>
      <c r="I21" s="230">
        <f>SUM(E21:H21)</f>
        <v>1</v>
      </c>
      <c r="J21" s="236" t="s">
        <v>177</v>
      </c>
      <c r="K21" s="236" t="s">
        <v>30</v>
      </c>
      <c r="L21" s="508"/>
      <c r="M21" s="500"/>
      <c r="N21" s="500"/>
      <c r="O21" s="519"/>
      <c r="P21" s="500"/>
      <c r="Q21" s="516"/>
      <c r="R21" s="511"/>
      <c r="S21" s="510"/>
      <c r="T21" s="510"/>
      <c r="U21" s="510"/>
      <c r="V21" s="544"/>
      <c r="W21" s="544"/>
      <c r="X21" s="547"/>
      <c r="Y21" s="539"/>
    </row>
    <row r="22" spans="1:25" ht="16.5" x14ac:dyDescent="0.3">
      <c r="A22" s="161"/>
      <c r="B22" s="521" t="s">
        <v>202</v>
      </c>
      <c r="C22" s="521"/>
      <c r="D22" s="521"/>
      <c r="E22" s="521"/>
      <c r="F22" s="521"/>
      <c r="G22" s="521"/>
      <c r="H22" s="521"/>
      <c r="I22" s="521"/>
      <c r="J22" s="521"/>
      <c r="K22" s="521"/>
      <c r="L22" s="521"/>
      <c r="M22" s="521"/>
      <c r="N22" s="521"/>
      <c r="O22" s="521"/>
      <c r="P22" s="521"/>
      <c r="Q22" s="521"/>
      <c r="R22" s="521"/>
      <c r="S22" s="521"/>
      <c r="T22" s="521"/>
      <c r="U22" s="521"/>
      <c r="V22" s="549"/>
      <c r="W22" s="549"/>
      <c r="X22" s="549"/>
    </row>
    <row r="23" spans="1:25" ht="16.5" x14ac:dyDescent="0.3">
      <c r="A23" s="161"/>
      <c r="B23" s="521" t="s">
        <v>203</v>
      </c>
      <c r="C23" s="521"/>
      <c r="D23" s="521"/>
      <c r="E23" s="521"/>
      <c r="F23" s="521"/>
      <c r="G23" s="521"/>
      <c r="H23" s="521"/>
      <c r="I23" s="521"/>
      <c r="J23" s="521"/>
      <c r="K23" s="521"/>
      <c r="L23" s="521"/>
      <c r="M23" s="521"/>
      <c r="N23" s="521"/>
      <c r="O23" s="521"/>
      <c r="P23" s="521"/>
      <c r="Q23" s="521"/>
      <c r="R23" s="521"/>
      <c r="S23" s="521"/>
      <c r="T23" s="521"/>
      <c r="U23" s="521"/>
      <c r="V23" s="549"/>
      <c r="W23" s="549"/>
      <c r="X23" s="549"/>
    </row>
    <row r="24" spans="1:25" ht="16.5" x14ac:dyDescent="0.3">
      <c r="A24" s="161"/>
      <c r="B24" s="521" t="s">
        <v>204</v>
      </c>
      <c r="C24" s="521"/>
      <c r="D24" s="521"/>
      <c r="E24" s="521"/>
      <c r="F24" s="521"/>
      <c r="G24" s="521"/>
      <c r="H24" s="521"/>
      <c r="I24" s="521"/>
      <c r="J24" s="521"/>
      <c r="K24" s="521"/>
      <c r="L24" s="521"/>
      <c r="M24" s="521"/>
      <c r="N24" s="521"/>
      <c r="O24" s="521"/>
      <c r="P24" s="521"/>
      <c r="Q24" s="521"/>
      <c r="R24" s="521"/>
      <c r="S24" s="521"/>
      <c r="T24" s="521"/>
      <c r="U24" s="521"/>
      <c r="V24" s="549"/>
      <c r="W24" s="549"/>
      <c r="X24" s="549"/>
    </row>
    <row r="25" spans="1:25" ht="16.5" x14ac:dyDescent="0.3">
      <c r="A25" s="161"/>
      <c r="B25" s="515" t="s">
        <v>3</v>
      </c>
      <c r="C25" s="515"/>
      <c r="D25" s="515"/>
      <c r="E25" s="515"/>
      <c r="F25" s="515"/>
      <c r="G25" s="515"/>
      <c r="H25" s="515"/>
      <c r="I25" s="515"/>
      <c r="J25" s="515"/>
      <c r="K25" s="233"/>
      <c r="L25" s="515" t="s">
        <v>72</v>
      </c>
      <c r="M25" s="515"/>
      <c r="N25" s="515"/>
      <c r="O25" s="515"/>
      <c r="P25" s="515"/>
      <c r="Q25" s="509" t="s">
        <v>4</v>
      </c>
      <c r="R25" s="509"/>
      <c r="S25" s="509"/>
      <c r="T25" s="509"/>
      <c r="U25" s="509" t="s">
        <v>40</v>
      </c>
      <c r="V25" s="549"/>
      <c r="W25" s="549"/>
      <c r="X25" s="549"/>
    </row>
    <row r="26" spans="1:25" ht="45" customHeight="1" x14ac:dyDescent="0.3">
      <c r="A26" s="161"/>
      <c r="B26" s="231" t="s">
        <v>51</v>
      </c>
      <c r="C26" s="231" t="s">
        <v>12</v>
      </c>
      <c r="D26" s="231" t="s">
        <v>52</v>
      </c>
      <c r="E26" s="231" t="s">
        <v>24</v>
      </c>
      <c r="F26" s="231" t="s">
        <v>25</v>
      </c>
      <c r="G26" s="231" t="s">
        <v>26</v>
      </c>
      <c r="H26" s="231" t="s">
        <v>27</v>
      </c>
      <c r="I26" s="231" t="s">
        <v>28</v>
      </c>
      <c r="J26" s="231" t="s">
        <v>29</v>
      </c>
      <c r="K26" s="231" t="s">
        <v>47</v>
      </c>
      <c r="L26" s="232" t="s">
        <v>14</v>
      </c>
      <c r="M26" s="148" t="s">
        <v>79</v>
      </c>
      <c r="N26" s="232" t="s">
        <v>15</v>
      </c>
      <c r="O26" s="232" t="s">
        <v>16</v>
      </c>
      <c r="P26" s="231" t="s">
        <v>48</v>
      </c>
      <c r="Q26" s="232" t="s">
        <v>17</v>
      </c>
      <c r="R26" s="232" t="s">
        <v>18</v>
      </c>
      <c r="S26" s="232" t="s">
        <v>19</v>
      </c>
      <c r="T26" s="232" t="s">
        <v>361</v>
      </c>
      <c r="U26" s="509"/>
      <c r="V26" s="549"/>
      <c r="W26" s="549"/>
      <c r="X26" s="549"/>
    </row>
    <row r="27" spans="1:25" ht="33" customHeight="1" x14ac:dyDescent="0.3">
      <c r="A27" s="161"/>
      <c r="B27" s="505" t="s">
        <v>205</v>
      </c>
      <c r="C27" s="497" t="s">
        <v>206</v>
      </c>
      <c r="D27" s="498" t="s">
        <v>207</v>
      </c>
      <c r="E27" s="499">
        <v>4</v>
      </c>
      <c r="F27" s="499">
        <v>0</v>
      </c>
      <c r="G27" s="499">
        <v>0</v>
      </c>
      <c r="H27" s="499">
        <v>0</v>
      </c>
      <c r="I27" s="508">
        <f>SUM(E27:H27)</f>
        <v>4</v>
      </c>
      <c r="J27" s="498" t="s">
        <v>177</v>
      </c>
      <c r="K27" s="498" t="s">
        <v>30</v>
      </c>
      <c r="L27" s="508">
        <v>6</v>
      </c>
      <c r="M27" s="500" t="s">
        <v>218</v>
      </c>
      <c r="N27" s="500" t="s">
        <v>208</v>
      </c>
      <c r="O27" s="486">
        <v>1</v>
      </c>
      <c r="P27" s="502" t="s">
        <v>219</v>
      </c>
      <c r="Q27" s="512">
        <f>R27+S27+T27</f>
        <v>41472000</v>
      </c>
      <c r="R27" s="511">
        <v>41472000</v>
      </c>
      <c r="S27" s="510">
        <v>0</v>
      </c>
      <c r="T27" s="510">
        <v>0</v>
      </c>
      <c r="U27" s="510">
        <v>0</v>
      </c>
      <c r="V27" s="540" t="s">
        <v>688</v>
      </c>
      <c r="W27" s="548" t="s">
        <v>724</v>
      </c>
      <c r="X27" s="550" t="s">
        <v>745</v>
      </c>
      <c r="Y27" s="541" t="s">
        <v>739</v>
      </c>
    </row>
    <row r="28" spans="1:25" ht="56.25" customHeight="1" x14ac:dyDescent="0.3">
      <c r="A28" s="161"/>
      <c r="B28" s="505"/>
      <c r="C28" s="497"/>
      <c r="D28" s="498"/>
      <c r="E28" s="499"/>
      <c r="F28" s="499"/>
      <c r="G28" s="499"/>
      <c r="H28" s="499"/>
      <c r="I28" s="508"/>
      <c r="J28" s="498"/>
      <c r="K28" s="498"/>
      <c r="L28" s="508"/>
      <c r="M28" s="500"/>
      <c r="N28" s="500"/>
      <c r="O28" s="486"/>
      <c r="P28" s="503"/>
      <c r="Q28" s="513"/>
      <c r="R28" s="511"/>
      <c r="S28" s="510"/>
      <c r="T28" s="510"/>
      <c r="U28" s="510"/>
      <c r="V28" s="540"/>
      <c r="W28" s="548"/>
      <c r="X28" s="551"/>
      <c r="Y28" s="541"/>
    </row>
    <row r="29" spans="1:25" ht="25.5" customHeight="1" x14ac:dyDescent="0.3">
      <c r="A29" s="161"/>
      <c r="B29" s="505"/>
      <c r="C29" s="500" t="s">
        <v>209</v>
      </c>
      <c r="D29" s="500" t="s">
        <v>210</v>
      </c>
      <c r="E29" s="499">
        <v>0</v>
      </c>
      <c r="F29" s="499">
        <v>1</v>
      </c>
      <c r="G29" s="507">
        <v>0</v>
      </c>
      <c r="H29" s="507">
        <v>0</v>
      </c>
      <c r="I29" s="536">
        <v>1</v>
      </c>
      <c r="J29" s="488" t="s">
        <v>177</v>
      </c>
      <c r="K29" s="500" t="s">
        <v>30</v>
      </c>
      <c r="L29" s="508"/>
      <c r="M29" s="500"/>
      <c r="N29" s="500" t="s">
        <v>212</v>
      </c>
      <c r="O29" s="487">
        <v>0.25</v>
      </c>
      <c r="P29" s="503"/>
      <c r="Q29" s="513"/>
      <c r="R29" s="511"/>
      <c r="S29" s="510"/>
      <c r="T29" s="510"/>
      <c r="U29" s="510"/>
      <c r="V29" s="540" t="s">
        <v>738</v>
      </c>
      <c r="W29" s="548"/>
      <c r="X29" s="551"/>
      <c r="Y29" s="541"/>
    </row>
    <row r="30" spans="1:25" ht="62.25" customHeight="1" x14ac:dyDescent="0.3">
      <c r="A30" s="161"/>
      <c r="B30" s="505"/>
      <c r="C30" s="500"/>
      <c r="D30" s="500"/>
      <c r="E30" s="499"/>
      <c r="F30" s="499"/>
      <c r="G30" s="507"/>
      <c r="H30" s="507"/>
      <c r="I30" s="536"/>
      <c r="J30" s="488"/>
      <c r="K30" s="500"/>
      <c r="L30" s="508"/>
      <c r="M30" s="500"/>
      <c r="N30" s="500"/>
      <c r="O30" s="487"/>
      <c r="P30" s="503"/>
      <c r="Q30" s="513"/>
      <c r="R30" s="511"/>
      <c r="S30" s="510"/>
      <c r="T30" s="510"/>
      <c r="U30" s="510"/>
      <c r="V30" s="540"/>
      <c r="W30" s="548"/>
      <c r="X30" s="551"/>
      <c r="Y30" s="541"/>
    </row>
    <row r="31" spans="1:25" ht="159" customHeight="1" x14ac:dyDescent="0.3">
      <c r="A31" s="161"/>
      <c r="B31" s="505"/>
      <c r="C31" s="226" t="s">
        <v>211</v>
      </c>
      <c r="D31" s="226" t="s">
        <v>210</v>
      </c>
      <c r="E31" s="241">
        <v>0</v>
      </c>
      <c r="F31" s="239">
        <v>0.25</v>
      </c>
      <c r="G31" s="239">
        <v>0.75</v>
      </c>
      <c r="H31" s="239">
        <v>0</v>
      </c>
      <c r="I31" s="239">
        <v>1</v>
      </c>
      <c r="J31" s="236" t="s">
        <v>177</v>
      </c>
      <c r="K31" s="236" t="s">
        <v>30</v>
      </c>
      <c r="L31" s="508"/>
      <c r="M31" s="500"/>
      <c r="N31" s="226" t="s">
        <v>214</v>
      </c>
      <c r="O31" s="238">
        <v>1</v>
      </c>
      <c r="P31" s="504"/>
      <c r="Q31" s="514"/>
      <c r="R31" s="511"/>
      <c r="S31" s="510"/>
      <c r="T31" s="510"/>
      <c r="U31" s="510"/>
      <c r="V31" s="471" t="s">
        <v>680</v>
      </c>
      <c r="W31" s="548"/>
      <c r="X31" s="552"/>
      <c r="Y31" s="541"/>
    </row>
    <row r="32" spans="1:25" ht="15" customHeight="1" x14ac:dyDescent="0.3">
      <c r="A32" s="161"/>
      <c r="B32" s="505"/>
      <c r="C32" s="490" t="s">
        <v>213</v>
      </c>
      <c r="D32" s="490" t="s">
        <v>210</v>
      </c>
      <c r="E32" s="506">
        <v>0</v>
      </c>
      <c r="F32" s="492">
        <v>0.25</v>
      </c>
      <c r="G32" s="492">
        <v>0.25</v>
      </c>
      <c r="H32" s="492">
        <v>0.5</v>
      </c>
      <c r="I32" s="492">
        <v>1</v>
      </c>
      <c r="J32" s="490" t="s">
        <v>177</v>
      </c>
      <c r="K32" s="488" t="s">
        <v>30</v>
      </c>
      <c r="L32" s="557">
        <v>7</v>
      </c>
      <c r="M32" s="490" t="s">
        <v>220</v>
      </c>
      <c r="N32" s="494" t="s">
        <v>216</v>
      </c>
      <c r="O32" s="486">
        <v>100</v>
      </c>
      <c r="P32" s="502" t="s">
        <v>219</v>
      </c>
      <c r="Q32" s="525">
        <f>R32+S32+T32</f>
        <v>1034250746</v>
      </c>
      <c r="R32" s="528">
        <f>1069706400-35455654-218488000-70400000</f>
        <v>745362746</v>
      </c>
      <c r="S32" s="522">
        <v>0</v>
      </c>
      <c r="T32" s="522">
        <v>288888000</v>
      </c>
      <c r="U32" s="531">
        <f>10000000+4000000+8000000</f>
        <v>22000000</v>
      </c>
      <c r="V32" s="540" t="s">
        <v>642</v>
      </c>
      <c r="W32" s="540" t="s">
        <v>740</v>
      </c>
      <c r="X32" s="542" t="s">
        <v>743</v>
      </c>
      <c r="Y32" s="541" t="s">
        <v>742</v>
      </c>
    </row>
    <row r="33" spans="1:25" ht="104.25" customHeight="1" x14ac:dyDescent="0.3">
      <c r="A33" s="161"/>
      <c r="B33" s="505"/>
      <c r="C33" s="491"/>
      <c r="D33" s="491"/>
      <c r="E33" s="506"/>
      <c r="F33" s="492"/>
      <c r="G33" s="492"/>
      <c r="H33" s="492"/>
      <c r="I33" s="492"/>
      <c r="J33" s="491"/>
      <c r="K33" s="488"/>
      <c r="L33" s="557"/>
      <c r="M33" s="491"/>
      <c r="N33" s="495"/>
      <c r="O33" s="486"/>
      <c r="P33" s="503"/>
      <c r="Q33" s="526"/>
      <c r="R33" s="529"/>
      <c r="S33" s="523"/>
      <c r="T33" s="523"/>
      <c r="U33" s="532"/>
      <c r="V33" s="540"/>
      <c r="W33" s="540"/>
      <c r="X33" s="543"/>
      <c r="Y33" s="541"/>
    </row>
    <row r="34" spans="1:25" ht="49.5" customHeight="1" x14ac:dyDescent="0.3">
      <c r="A34" s="161"/>
      <c r="B34" s="505"/>
      <c r="C34" s="491"/>
      <c r="D34" s="491"/>
      <c r="E34" s="506"/>
      <c r="F34" s="492"/>
      <c r="G34" s="492"/>
      <c r="H34" s="492"/>
      <c r="I34" s="492"/>
      <c r="J34" s="491"/>
      <c r="K34" s="488"/>
      <c r="L34" s="557"/>
      <c r="M34" s="491"/>
      <c r="N34" s="495"/>
      <c r="O34" s="486"/>
      <c r="P34" s="503"/>
      <c r="Q34" s="526"/>
      <c r="R34" s="529"/>
      <c r="S34" s="523"/>
      <c r="T34" s="523"/>
      <c r="U34" s="532"/>
      <c r="V34" s="540"/>
      <c r="W34" s="540"/>
      <c r="X34" s="543"/>
      <c r="Y34" s="541"/>
    </row>
    <row r="35" spans="1:25" ht="16.5" hidden="1" customHeight="1" x14ac:dyDescent="0.3">
      <c r="A35" s="161"/>
      <c r="B35" s="505"/>
      <c r="C35" s="491"/>
      <c r="D35" s="491"/>
      <c r="E35" s="506"/>
      <c r="F35" s="492"/>
      <c r="G35" s="492"/>
      <c r="H35" s="492"/>
      <c r="I35" s="492"/>
      <c r="J35" s="491"/>
      <c r="K35" s="488"/>
      <c r="L35" s="557"/>
      <c r="M35" s="491"/>
      <c r="N35" s="496"/>
      <c r="O35" s="486"/>
      <c r="P35" s="503"/>
      <c r="Q35" s="526"/>
      <c r="R35" s="529"/>
      <c r="S35" s="523"/>
      <c r="T35" s="523"/>
      <c r="U35" s="532"/>
      <c r="V35" s="474"/>
      <c r="W35" s="540"/>
      <c r="X35" s="543"/>
      <c r="Y35" s="541"/>
    </row>
    <row r="36" spans="1:25" ht="56.25" customHeight="1" x14ac:dyDescent="0.3">
      <c r="A36" s="161"/>
      <c r="B36" s="505"/>
      <c r="C36" s="491"/>
      <c r="D36" s="491"/>
      <c r="E36" s="506"/>
      <c r="F36" s="492"/>
      <c r="G36" s="492"/>
      <c r="H36" s="492"/>
      <c r="I36" s="492"/>
      <c r="J36" s="491"/>
      <c r="K36" s="488"/>
      <c r="L36" s="557"/>
      <c r="M36" s="491"/>
      <c r="N36" s="494" t="s">
        <v>217</v>
      </c>
      <c r="O36" s="487">
        <v>1</v>
      </c>
      <c r="P36" s="503"/>
      <c r="Q36" s="526"/>
      <c r="R36" s="529"/>
      <c r="S36" s="523"/>
      <c r="T36" s="523"/>
      <c r="U36" s="532"/>
      <c r="V36" s="540" t="s">
        <v>741</v>
      </c>
      <c r="W36" s="540"/>
      <c r="X36" s="543"/>
      <c r="Y36" s="541"/>
    </row>
    <row r="37" spans="1:25" ht="16.5" x14ac:dyDescent="0.3">
      <c r="A37" s="161"/>
      <c r="B37" s="505"/>
      <c r="C37" s="491"/>
      <c r="D37" s="491"/>
      <c r="E37" s="506"/>
      <c r="F37" s="492"/>
      <c r="G37" s="492"/>
      <c r="H37" s="492"/>
      <c r="I37" s="492"/>
      <c r="J37" s="491"/>
      <c r="K37" s="488"/>
      <c r="L37" s="557"/>
      <c r="M37" s="491"/>
      <c r="N37" s="495"/>
      <c r="O37" s="487"/>
      <c r="P37" s="503"/>
      <c r="Q37" s="526"/>
      <c r="R37" s="529"/>
      <c r="S37" s="523"/>
      <c r="T37" s="523"/>
      <c r="U37" s="532"/>
      <c r="V37" s="540"/>
      <c r="W37" s="540"/>
      <c r="X37" s="543"/>
      <c r="Y37" s="541"/>
    </row>
    <row r="38" spans="1:25" ht="16.5" hidden="1" customHeight="1" x14ac:dyDescent="0.3">
      <c r="A38" s="161"/>
      <c r="B38" s="505"/>
      <c r="C38" s="491"/>
      <c r="D38" s="491"/>
      <c r="E38" s="506"/>
      <c r="F38" s="492"/>
      <c r="G38" s="492"/>
      <c r="H38" s="492"/>
      <c r="I38" s="492"/>
      <c r="J38" s="491"/>
      <c r="K38" s="488"/>
      <c r="L38" s="557"/>
      <c r="M38" s="491"/>
      <c r="N38" s="495"/>
      <c r="O38" s="487"/>
      <c r="P38" s="503"/>
      <c r="Q38" s="526"/>
      <c r="R38" s="529"/>
      <c r="S38" s="523"/>
      <c r="T38" s="523"/>
      <c r="U38" s="532"/>
      <c r="V38" s="540"/>
      <c r="W38" s="540"/>
      <c r="X38" s="543"/>
      <c r="Y38" s="541"/>
    </row>
    <row r="39" spans="1:25" ht="16.5" hidden="1" customHeight="1" x14ac:dyDescent="0.3">
      <c r="A39" s="161"/>
      <c r="B39" s="505"/>
      <c r="C39" s="491"/>
      <c r="D39" s="491"/>
      <c r="E39" s="506"/>
      <c r="F39" s="492"/>
      <c r="G39" s="492"/>
      <c r="H39" s="492"/>
      <c r="I39" s="492"/>
      <c r="J39" s="491"/>
      <c r="K39" s="488"/>
      <c r="L39" s="557"/>
      <c r="M39" s="491"/>
      <c r="N39" s="495"/>
      <c r="O39" s="487"/>
      <c r="P39" s="503"/>
      <c r="Q39" s="526"/>
      <c r="R39" s="529"/>
      <c r="S39" s="523"/>
      <c r="T39" s="523"/>
      <c r="U39" s="532"/>
      <c r="V39" s="540"/>
      <c r="W39" s="540"/>
      <c r="X39" s="543"/>
      <c r="Y39" s="541"/>
    </row>
    <row r="40" spans="1:25" ht="16.5" hidden="1" customHeight="1" x14ac:dyDescent="0.3">
      <c r="A40" s="161"/>
      <c r="B40" s="505"/>
      <c r="C40" s="491"/>
      <c r="D40" s="491"/>
      <c r="E40" s="506"/>
      <c r="F40" s="492"/>
      <c r="G40" s="492"/>
      <c r="H40" s="492"/>
      <c r="I40" s="492"/>
      <c r="J40" s="491"/>
      <c r="K40" s="488"/>
      <c r="L40" s="557"/>
      <c r="M40" s="491"/>
      <c r="N40" s="495"/>
      <c r="O40" s="487"/>
      <c r="P40" s="503"/>
      <c r="Q40" s="526"/>
      <c r="R40" s="529"/>
      <c r="S40" s="523"/>
      <c r="T40" s="523"/>
      <c r="U40" s="532"/>
      <c r="V40" s="540"/>
      <c r="W40" s="540"/>
      <c r="X40" s="543"/>
      <c r="Y40" s="541"/>
    </row>
    <row r="41" spans="1:25" ht="16.5" hidden="1" customHeight="1" x14ac:dyDescent="0.3">
      <c r="A41" s="161"/>
      <c r="B41" s="505"/>
      <c r="C41" s="491"/>
      <c r="D41" s="491"/>
      <c r="E41" s="506"/>
      <c r="F41" s="492"/>
      <c r="G41" s="492"/>
      <c r="H41" s="492"/>
      <c r="I41" s="492"/>
      <c r="J41" s="491"/>
      <c r="K41" s="488"/>
      <c r="L41" s="557"/>
      <c r="M41" s="491"/>
      <c r="N41" s="495"/>
      <c r="O41" s="487"/>
      <c r="P41" s="504"/>
      <c r="Q41" s="526"/>
      <c r="R41" s="529"/>
      <c r="S41" s="523"/>
      <c r="T41" s="523"/>
      <c r="U41" s="532"/>
      <c r="V41" s="540"/>
      <c r="W41" s="540"/>
      <c r="X41" s="543"/>
      <c r="Y41" s="541"/>
    </row>
    <row r="42" spans="1:25" ht="16.5" x14ac:dyDescent="0.3">
      <c r="A42" s="161"/>
      <c r="B42" s="505"/>
      <c r="C42" s="491"/>
      <c r="D42" s="491"/>
      <c r="E42" s="506"/>
      <c r="F42" s="492"/>
      <c r="G42" s="492"/>
      <c r="H42" s="492"/>
      <c r="I42" s="492"/>
      <c r="J42" s="491"/>
      <c r="K42" s="488"/>
      <c r="L42" s="557"/>
      <c r="M42" s="491"/>
      <c r="N42" s="495"/>
      <c r="O42" s="487"/>
      <c r="P42" s="502"/>
      <c r="Q42" s="526"/>
      <c r="R42" s="529"/>
      <c r="S42" s="523"/>
      <c r="T42" s="523"/>
      <c r="U42" s="532"/>
      <c r="V42" s="540"/>
      <c r="W42" s="540"/>
      <c r="X42" s="543"/>
      <c r="Y42" s="541"/>
    </row>
    <row r="43" spans="1:25" ht="27.75" customHeight="1" x14ac:dyDescent="0.3">
      <c r="A43" s="161"/>
      <c r="B43" s="505"/>
      <c r="C43" s="491"/>
      <c r="D43" s="491"/>
      <c r="E43" s="506"/>
      <c r="F43" s="492"/>
      <c r="G43" s="492"/>
      <c r="H43" s="492"/>
      <c r="I43" s="492"/>
      <c r="J43" s="491"/>
      <c r="K43" s="488"/>
      <c r="L43" s="557"/>
      <c r="M43" s="491"/>
      <c r="N43" s="495"/>
      <c r="O43" s="487"/>
      <c r="P43" s="503"/>
      <c r="Q43" s="526"/>
      <c r="R43" s="529"/>
      <c r="S43" s="523"/>
      <c r="T43" s="523"/>
      <c r="U43" s="532"/>
      <c r="V43" s="540"/>
      <c r="W43" s="540"/>
      <c r="X43" s="543"/>
      <c r="Y43" s="541"/>
    </row>
    <row r="44" spans="1:25" ht="16.5" hidden="1" customHeight="1" x14ac:dyDescent="0.3">
      <c r="A44" s="161"/>
      <c r="B44" s="505"/>
      <c r="C44" s="491"/>
      <c r="D44" s="491"/>
      <c r="E44" s="506"/>
      <c r="F44" s="492"/>
      <c r="G44" s="492"/>
      <c r="H44" s="492"/>
      <c r="I44" s="492"/>
      <c r="J44" s="491"/>
      <c r="K44" s="488"/>
      <c r="L44" s="557"/>
      <c r="M44" s="491"/>
      <c r="N44" s="495"/>
      <c r="O44" s="487"/>
      <c r="P44" s="503"/>
      <c r="Q44" s="526"/>
      <c r="R44" s="529"/>
      <c r="S44" s="523"/>
      <c r="T44" s="523"/>
      <c r="U44" s="532"/>
      <c r="V44" s="540"/>
      <c r="W44" s="540"/>
      <c r="X44" s="543"/>
      <c r="Y44" s="541"/>
    </row>
    <row r="45" spans="1:25" ht="16.5" hidden="1" customHeight="1" x14ac:dyDescent="0.3">
      <c r="A45" s="161"/>
      <c r="B45" s="505"/>
      <c r="C45" s="491"/>
      <c r="D45" s="491"/>
      <c r="E45" s="506"/>
      <c r="F45" s="492"/>
      <c r="G45" s="492"/>
      <c r="H45" s="492"/>
      <c r="I45" s="492"/>
      <c r="J45" s="491"/>
      <c r="K45" s="488"/>
      <c r="L45" s="557"/>
      <c r="M45" s="491"/>
      <c r="N45" s="495"/>
      <c r="O45" s="487"/>
      <c r="P45" s="503"/>
      <c r="Q45" s="526"/>
      <c r="R45" s="529"/>
      <c r="S45" s="523"/>
      <c r="T45" s="523"/>
      <c r="U45" s="532"/>
      <c r="V45" s="540"/>
      <c r="W45" s="540"/>
      <c r="X45" s="543"/>
      <c r="Y45" s="541"/>
    </row>
    <row r="46" spans="1:25" ht="16.5" hidden="1" customHeight="1" x14ac:dyDescent="0.3">
      <c r="A46" s="161"/>
      <c r="B46" s="505"/>
      <c r="C46" s="491"/>
      <c r="D46" s="491"/>
      <c r="E46" s="506"/>
      <c r="F46" s="492"/>
      <c r="G46" s="492"/>
      <c r="H46" s="492"/>
      <c r="I46" s="492"/>
      <c r="J46" s="491"/>
      <c r="K46" s="488"/>
      <c r="L46" s="557"/>
      <c r="M46" s="491"/>
      <c r="N46" s="495"/>
      <c r="O46" s="487"/>
      <c r="P46" s="504"/>
      <c r="Q46" s="526"/>
      <c r="R46" s="529"/>
      <c r="S46" s="523"/>
      <c r="T46" s="523"/>
      <c r="U46" s="532"/>
      <c r="V46" s="540"/>
      <c r="W46" s="540"/>
      <c r="X46" s="543"/>
      <c r="Y46" s="541"/>
    </row>
    <row r="47" spans="1:25" ht="16.5" x14ac:dyDescent="0.3">
      <c r="A47" s="161"/>
      <c r="B47" s="505"/>
      <c r="C47" s="491"/>
      <c r="D47" s="491"/>
      <c r="E47" s="506"/>
      <c r="F47" s="492"/>
      <c r="G47" s="492"/>
      <c r="H47" s="492"/>
      <c r="I47" s="492"/>
      <c r="J47" s="491"/>
      <c r="K47" s="488"/>
      <c r="L47" s="557"/>
      <c r="M47" s="491"/>
      <c r="N47" s="495"/>
      <c r="O47" s="487"/>
      <c r="P47" s="502"/>
      <c r="Q47" s="526"/>
      <c r="R47" s="529"/>
      <c r="S47" s="523"/>
      <c r="T47" s="523"/>
      <c r="U47" s="532"/>
      <c r="V47" s="540"/>
      <c r="W47" s="540"/>
      <c r="X47" s="543"/>
      <c r="Y47" s="541"/>
    </row>
    <row r="48" spans="1:25" ht="12" customHeight="1" x14ac:dyDescent="0.3">
      <c r="A48" s="161"/>
      <c r="B48" s="505"/>
      <c r="C48" s="491"/>
      <c r="D48" s="491"/>
      <c r="E48" s="506"/>
      <c r="F48" s="492"/>
      <c r="G48" s="492"/>
      <c r="H48" s="492"/>
      <c r="I48" s="492"/>
      <c r="J48" s="491"/>
      <c r="K48" s="488"/>
      <c r="L48" s="557"/>
      <c r="M48" s="491"/>
      <c r="N48" s="495"/>
      <c r="O48" s="487"/>
      <c r="P48" s="503"/>
      <c r="Q48" s="526"/>
      <c r="R48" s="529"/>
      <c r="S48" s="523"/>
      <c r="T48" s="523"/>
      <c r="U48" s="532"/>
      <c r="V48" s="540"/>
      <c r="W48" s="540"/>
      <c r="X48" s="543"/>
      <c r="Y48" s="541"/>
    </row>
    <row r="49" spans="1:25" ht="16.5" hidden="1" customHeight="1" x14ac:dyDescent="0.3">
      <c r="A49" s="161"/>
      <c r="B49" s="505"/>
      <c r="C49" s="491"/>
      <c r="D49" s="491"/>
      <c r="E49" s="506"/>
      <c r="F49" s="492"/>
      <c r="G49" s="492"/>
      <c r="H49" s="492"/>
      <c r="I49" s="492"/>
      <c r="J49" s="491"/>
      <c r="K49" s="488"/>
      <c r="L49" s="557"/>
      <c r="M49" s="491"/>
      <c r="N49" s="495"/>
      <c r="O49" s="487"/>
      <c r="P49" s="503"/>
      <c r="Q49" s="526"/>
      <c r="R49" s="529"/>
      <c r="S49" s="523"/>
      <c r="T49" s="523"/>
      <c r="U49" s="532"/>
      <c r="V49" s="540"/>
      <c r="W49" s="540"/>
      <c r="X49" s="543"/>
      <c r="Y49" s="541"/>
    </row>
    <row r="50" spans="1:25" ht="16.5" hidden="1" customHeight="1" x14ac:dyDescent="0.3">
      <c r="A50" s="161"/>
      <c r="B50" s="505"/>
      <c r="C50" s="491"/>
      <c r="D50" s="491"/>
      <c r="E50" s="506"/>
      <c r="F50" s="492"/>
      <c r="G50" s="492"/>
      <c r="H50" s="492"/>
      <c r="I50" s="492"/>
      <c r="J50" s="491"/>
      <c r="K50" s="488"/>
      <c r="L50" s="557"/>
      <c r="M50" s="491"/>
      <c r="N50" s="495"/>
      <c r="O50" s="487"/>
      <c r="P50" s="503"/>
      <c r="Q50" s="526"/>
      <c r="R50" s="529"/>
      <c r="S50" s="523"/>
      <c r="T50" s="523"/>
      <c r="U50" s="532"/>
      <c r="V50" s="540"/>
      <c r="W50" s="540"/>
      <c r="X50" s="543"/>
      <c r="Y50" s="541"/>
    </row>
    <row r="51" spans="1:25" ht="16.5" hidden="1" customHeight="1" x14ac:dyDescent="0.3">
      <c r="A51" s="161"/>
      <c r="B51" s="505"/>
      <c r="C51" s="491"/>
      <c r="D51" s="491"/>
      <c r="E51" s="506"/>
      <c r="F51" s="492"/>
      <c r="G51" s="492"/>
      <c r="H51" s="492"/>
      <c r="I51" s="492"/>
      <c r="J51" s="491"/>
      <c r="K51" s="488"/>
      <c r="L51" s="557"/>
      <c r="M51" s="491"/>
      <c r="N51" s="495"/>
      <c r="O51" s="487"/>
      <c r="P51" s="504"/>
      <c r="Q51" s="526"/>
      <c r="R51" s="529"/>
      <c r="S51" s="523"/>
      <c r="T51" s="523"/>
      <c r="U51" s="532"/>
      <c r="V51" s="540"/>
      <c r="W51" s="540"/>
      <c r="X51" s="543"/>
      <c r="Y51" s="541"/>
    </row>
    <row r="52" spans="1:25" ht="16.5" x14ac:dyDescent="0.3">
      <c r="A52" s="161"/>
      <c r="B52" s="505"/>
      <c r="C52" s="491"/>
      <c r="D52" s="491"/>
      <c r="E52" s="506"/>
      <c r="F52" s="492"/>
      <c r="G52" s="492"/>
      <c r="H52" s="492"/>
      <c r="I52" s="492"/>
      <c r="J52" s="491"/>
      <c r="K52" s="488"/>
      <c r="L52" s="557"/>
      <c r="M52" s="491"/>
      <c r="N52" s="495"/>
      <c r="O52" s="487"/>
      <c r="P52" s="502"/>
      <c r="Q52" s="526"/>
      <c r="R52" s="529"/>
      <c r="S52" s="523"/>
      <c r="T52" s="523"/>
      <c r="U52" s="532"/>
      <c r="V52" s="540"/>
      <c r="W52" s="540"/>
      <c r="X52" s="543"/>
      <c r="Y52" s="541"/>
    </row>
    <row r="53" spans="1:25" ht="20.25" customHeight="1" x14ac:dyDescent="0.3">
      <c r="A53" s="161"/>
      <c r="B53" s="505"/>
      <c r="C53" s="491"/>
      <c r="D53" s="491"/>
      <c r="E53" s="506"/>
      <c r="F53" s="492"/>
      <c r="G53" s="492"/>
      <c r="H53" s="492"/>
      <c r="I53" s="492"/>
      <c r="J53" s="491"/>
      <c r="K53" s="488"/>
      <c r="L53" s="557"/>
      <c r="M53" s="491"/>
      <c r="N53" s="495"/>
      <c r="O53" s="487"/>
      <c r="P53" s="503"/>
      <c r="Q53" s="526"/>
      <c r="R53" s="529"/>
      <c r="S53" s="523"/>
      <c r="T53" s="523"/>
      <c r="U53" s="532"/>
      <c r="V53" s="540"/>
      <c r="W53" s="540"/>
      <c r="X53" s="543"/>
      <c r="Y53" s="541"/>
    </row>
    <row r="54" spans="1:25" ht="16.5" hidden="1" customHeight="1" x14ac:dyDescent="0.3">
      <c r="A54" s="161"/>
      <c r="B54" s="505"/>
      <c r="C54" s="491"/>
      <c r="D54" s="491"/>
      <c r="E54" s="506"/>
      <c r="F54" s="492"/>
      <c r="G54" s="492"/>
      <c r="H54" s="492"/>
      <c r="I54" s="492"/>
      <c r="J54" s="491"/>
      <c r="K54" s="488"/>
      <c r="L54" s="557"/>
      <c r="M54" s="491"/>
      <c r="N54" s="495"/>
      <c r="O54" s="487"/>
      <c r="P54" s="503"/>
      <c r="Q54" s="526"/>
      <c r="R54" s="529"/>
      <c r="S54" s="523"/>
      <c r="T54" s="523"/>
      <c r="U54" s="532"/>
      <c r="V54" s="540"/>
      <c r="W54" s="540"/>
      <c r="X54" s="543"/>
      <c r="Y54" s="541"/>
    </row>
    <row r="55" spans="1:25" ht="16.5" hidden="1" customHeight="1" x14ac:dyDescent="0.3">
      <c r="A55" s="161"/>
      <c r="B55" s="505"/>
      <c r="C55" s="491"/>
      <c r="D55" s="491"/>
      <c r="E55" s="506"/>
      <c r="F55" s="492"/>
      <c r="G55" s="492"/>
      <c r="H55" s="492"/>
      <c r="I55" s="492"/>
      <c r="J55" s="491"/>
      <c r="K55" s="488"/>
      <c r="L55" s="557"/>
      <c r="M55" s="491"/>
      <c r="N55" s="495"/>
      <c r="O55" s="487"/>
      <c r="P55" s="503"/>
      <c r="Q55" s="526"/>
      <c r="R55" s="529"/>
      <c r="S55" s="523"/>
      <c r="T55" s="523"/>
      <c r="U55" s="532"/>
      <c r="V55" s="540"/>
      <c r="W55" s="540"/>
      <c r="X55" s="543"/>
      <c r="Y55" s="541"/>
    </row>
    <row r="56" spans="1:25" ht="16.5" hidden="1" customHeight="1" x14ac:dyDescent="0.3">
      <c r="A56" s="161"/>
      <c r="B56" s="505"/>
      <c r="C56" s="491"/>
      <c r="D56" s="491"/>
      <c r="E56" s="506"/>
      <c r="F56" s="492"/>
      <c r="G56" s="492"/>
      <c r="H56" s="492"/>
      <c r="I56" s="492"/>
      <c r="J56" s="491"/>
      <c r="K56" s="488"/>
      <c r="L56" s="557"/>
      <c r="M56" s="491"/>
      <c r="N56" s="495"/>
      <c r="O56" s="487"/>
      <c r="P56" s="504"/>
      <c r="Q56" s="526"/>
      <c r="R56" s="529"/>
      <c r="S56" s="523"/>
      <c r="T56" s="523"/>
      <c r="U56" s="532"/>
      <c r="V56" s="540"/>
      <c r="W56" s="540"/>
      <c r="X56" s="543"/>
      <c r="Y56" s="541"/>
    </row>
    <row r="57" spans="1:25" ht="16.5" x14ac:dyDescent="0.3">
      <c r="A57" s="161"/>
      <c r="B57" s="505"/>
      <c r="C57" s="491"/>
      <c r="D57" s="491"/>
      <c r="E57" s="506"/>
      <c r="F57" s="492"/>
      <c r="G57" s="492"/>
      <c r="H57" s="492"/>
      <c r="I57" s="492"/>
      <c r="J57" s="491"/>
      <c r="K57" s="488"/>
      <c r="L57" s="557"/>
      <c r="M57" s="491"/>
      <c r="N57" s="495"/>
      <c r="O57" s="487"/>
      <c r="P57" s="502"/>
      <c r="Q57" s="526"/>
      <c r="R57" s="529"/>
      <c r="S57" s="523"/>
      <c r="T57" s="523"/>
      <c r="U57" s="532"/>
      <c r="V57" s="540"/>
      <c r="W57" s="540"/>
      <c r="X57" s="543"/>
      <c r="Y57" s="541"/>
    </row>
    <row r="58" spans="1:25" ht="0.75" customHeight="1" x14ac:dyDescent="0.3">
      <c r="A58" s="161"/>
      <c r="B58" s="505"/>
      <c r="C58" s="491"/>
      <c r="D58" s="491"/>
      <c r="E58" s="506"/>
      <c r="F58" s="492"/>
      <c r="G58" s="492"/>
      <c r="H58" s="492"/>
      <c r="I58" s="492"/>
      <c r="J58" s="491"/>
      <c r="K58" s="488"/>
      <c r="L58" s="557"/>
      <c r="M58" s="491"/>
      <c r="N58" s="495"/>
      <c r="O58" s="487"/>
      <c r="P58" s="503"/>
      <c r="Q58" s="526"/>
      <c r="R58" s="529"/>
      <c r="S58" s="523"/>
      <c r="T58" s="523"/>
      <c r="U58" s="532"/>
      <c r="V58" s="540"/>
      <c r="W58" s="540"/>
      <c r="X58" s="543"/>
      <c r="Y58" s="541"/>
    </row>
    <row r="59" spans="1:25" ht="16.5" hidden="1" customHeight="1" x14ac:dyDescent="0.3">
      <c r="A59" s="161"/>
      <c r="B59" s="505"/>
      <c r="C59" s="491"/>
      <c r="D59" s="491"/>
      <c r="E59" s="506"/>
      <c r="F59" s="492"/>
      <c r="G59" s="492"/>
      <c r="H59" s="492"/>
      <c r="I59" s="492"/>
      <c r="J59" s="491"/>
      <c r="K59" s="488"/>
      <c r="L59" s="557"/>
      <c r="M59" s="491"/>
      <c r="N59" s="495"/>
      <c r="O59" s="487"/>
      <c r="P59" s="503"/>
      <c r="Q59" s="526"/>
      <c r="R59" s="529"/>
      <c r="S59" s="523"/>
      <c r="T59" s="523"/>
      <c r="U59" s="532"/>
      <c r="V59" s="540"/>
      <c r="W59" s="540"/>
      <c r="X59" s="543"/>
      <c r="Y59" s="541"/>
    </row>
    <row r="60" spans="1:25" ht="16.5" hidden="1" customHeight="1" x14ac:dyDescent="0.3">
      <c r="A60" s="161"/>
      <c r="B60" s="505"/>
      <c r="C60" s="491"/>
      <c r="D60" s="491"/>
      <c r="E60" s="506"/>
      <c r="F60" s="492"/>
      <c r="G60" s="492"/>
      <c r="H60" s="492"/>
      <c r="I60" s="492"/>
      <c r="J60" s="491"/>
      <c r="K60" s="488"/>
      <c r="L60" s="557"/>
      <c r="M60" s="491"/>
      <c r="N60" s="495"/>
      <c r="O60" s="487"/>
      <c r="P60" s="503"/>
      <c r="Q60" s="526"/>
      <c r="R60" s="529"/>
      <c r="S60" s="523"/>
      <c r="T60" s="523"/>
      <c r="U60" s="532"/>
      <c r="V60" s="540"/>
      <c r="W60" s="540"/>
      <c r="X60" s="543"/>
      <c r="Y60" s="541"/>
    </row>
    <row r="61" spans="1:25" ht="16.5" hidden="1" customHeight="1" x14ac:dyDescent="0.3">
      <c r="A61" s="161"/>
      <c r="B61" s="505"/>
      <c r="C61" s="491"/>
      <c r="D61" s="491"/>
      <c r="E61" s="506"/>
      <c r="F61" s="492"/>
      <c r="G61" s="492"/>
      <c r="H61" s="492"/>
      <c r="I61" s="492"/>
      <c r="J61" s="491"/>
      <c r="K61" s="488"/>
      <c r="L61" s="557"/>
      <c r="M61" s="491"/>
      <c r="N61" s="495"/>
      <c r="O61" s="487"/>
      <c r="P61" s="504"/>
      <c r="Q61" s="526"/>
      <c r="R61" s="529"/>
      <c r="S61" s="523"/>
      <c r="T61" s="523"/>
      <c r="U61" s="532"/>
      <c r="V61" s="540"/>
      <c r="W61" s="540"/>
      <c r="X61" s="543"/>
      <c r="Y61" s="541"/>
    </row>
    <row r="62" spans="1:25" ht="33.75" hidden="1" customHeight="1" x14ac:dyDescent="0.3">
      <c r="A62" s="161"/>
      <c r="B62" s="505"/>
      <c r="C62" s="491"/>
      <c r="D62" s="491"/>
      <c r="E62" s="506"/>
      <c r="F62" s="492"/>
      <c r="G62" s="492"/>
      <c r="H62" s="492"/>
      <c r="I62" s="492"/>
      <c r="J62" s="491"/>
      <c r="K62" s="488"/>
      <c r="L62" s="557"/>
      <c r="M62" s="491"/>
      <c r="N62" s="495"/>
      <c r="O62" s="487"/>
      <c r="P62" s="502"/>
      <c r="Q62" s="526"/>
      <c r="R62" s="529"/>
      <c r="S62" s="523"/>
      <c r="T62" s="523"/>
      <c r="U62" s="532"/>
      <c r="V62" s="540"/>
      <c r="W62" s="540"/>
      <c r="X62" s="543"/>
      <c r="Y62" s="541"/>
    </row>
    <row r="63" spans="1:25" ht="19.5" customHeight="1" x14ac:dyDescent="0.3">
      <c r="A63" s="161"/>
      <c r="B63" s="505"/>
      <c r="C63" s="491"/>
      <c r="D63" s="491"/>
      <c r="E63" s="506"/>
      <c r="F63" s="492"/>
      <c r="G63" s="492"/>
      <c r="H63" s="492"/>
      <c r="I63" s="492"/>
      <c r="J63" s="491"/>
      <c r="K63" s="488"/>
      <c r="L63" s="557"/>
      <c r="M63" s="491"/>
      <c r="N63" s="495"/>
      <c r="O63" s="487"/>
      <c r="P63" s="503"/>
      <c r="Q63" s="526"/>
      <c r="R63" s="529"/>
      <c r="S63" s="523"/>
      <c r="T63" s="523"/>
      <c r="U63" s="532"/>
      <c r="V63" s="540"/>
      <c r="W63" s="540"/>
      <c r="X63" s="543"/>
      <c r="Y63" s="541"/>
    </row>
    <row r="64" spans="1:25" ht="3.75" customHeight="1" x14ac:dyDescent="0.3">
      <c r="A64" s="161"/>
      <c r="B64" s="505"/>
      <c r="C64" s="491"/>
      <c r="D64" s="491"/>
      <c r="E64" s="506"/>
      <c r="F64" s="492"/>
      <c r="G64" s="492"/>
      <c r="H64" s="492"/>
      <c r="I64" s="492"/>
      <c r="J64" s="491"/>
      <c r="K64" s="488"/>
      <c r="L64" s="557"/>
      <c r="M64" s="491"/>
      <c r="N64" s="495"/>
      <c r="O64" s="487"/>
      <c r="P64" s="503"/>
      <c r="Q64" s="526"/>
      <c r="R64" s="529"/>
      <c r="S64" s="523"/>
      <c r="T64" s="523"/>
      <c r="U64" s="532"/>
      <c r="V64" s="540"/>
      <c r="W64" s="540"/>
      <c r="X64" s="544"/>
      <c r="Y64" s="541"/>
    </row>
    <row r="65" spans="1:21" ht="16.5" hidden="1" customHeight="1" x14ac:dyDescent="0.3">
      <c r="A65" s="161"/>
      <c r="B65" s="505"/>
      <c r="C65" s="491"/>
      <c r="D65" s="491"/>
      <c r="E65" s="506"/>
      <c r="F65" s="492"/>
      <c r="G65" s="492"/>
      <c r="H65" s="492"/>
      <c r="I65" s="492"/>
      <c r="J65" s="491"/>
      <c r="K65" s="488"/>
      <c r="L65" s="557"/>
      <c r="M65" s="491"/>
      <c r="N65" s="495"/>
      <c r="O65" s="487"/>
      <c r="P65" s="503"/>
      <c r="Q65" s="526"/>
      <c r="R65" s="529"/>
      <c r="S65" s="523"/>
      <c r="T65" s="523"/>
      <c r="U65" s="532"/>
    </row>
    <row r="66" spans="1:21" ht="16.5" hidden="1" customHeight="1" x14ac:dyDescent="0.3">
      <c r="A66" s="161"/>
      <c r="B66" s="505"/>
      <c r="C66" s="491"/>
      <c r="D66" s="491"/>
      <c r="E66" s="506"/>
      <c r="F66" s="492"/>
      <c r="G66" s="492"/>
      <c r="H66" s="492"/>
      <c r="I66" s="492"/>
      <c r="J66" s="491"/>
      <c r="K66" s="488"/>
      <c r="L66" s="557"/>
      <c r="M66" s="493"/>
      <c r="N66" s="495"/>
      <c r="O66" s="487"/>
      <c r="P66" s="504"/>
      <c r="Q66" s="527"/>
      <c r="R66" s="530"/>
      <c r="S66" s="524"/>
      <c r="T66" s="524"/>
      <c r="U66" s="533"/>
    </row>
    <row r="67" spans="1:21" ht="16.5" x14ac:dyDescent="0.3">
      <c r="A67" s="161"/>
      <c r="B67" s="501" t="s">
        <v>53</v>
      </c>
      <c r="C67" s="501"/>
      <c r="D67" s="501"/>
      <c r="E67" s="501"/>
      <c r="F67" s="501"/>
      <c r="G67" s="501"/>
      <c r="H67" s="501"/>
      <c r="I67" s="501"/>
      <c r="J67" s="501"/>
      <c r="K67" s="501"/>
      <c r="L67" s="501"/>
      <c r="M67" s="501"/>
      <c r="N67" s="501"/>
      <c r="O67" s="501"/>
      <c r="P67" s="501"/>
      <c r="Q67" s="174">
        <f>R67+S67+T67</f>
        <v>1191844346</v>
      </c>
      <c r="R67" s="175">
        <f>SUM(R36+R32+R27+R20+R19+R18+R18+R12+R11)</f>
        <v>876844346</v>
      </c>
      <c r="S67" s="175">
        <f>SUBTOTAL(9,S57:S66)</f>
        <v>0</v>
      </c>
      <c r="T67" s="175">
        <f>T32+T27+T20+T19+T18+T12+T11</f>
        <v>315000000</v>
      </c>
      <c r="U67" s="175">
        <f>U32+U27+U20+U19+U18</f>
        <v>986658537</v>
      </c>
    </row>
    <row r="68" spans="1:21" x14ac:dyDescent="0.25">
      <c r="B68" s="559" t="s">
        <v>726</v>
      </c>
      <c r="C68" s="559"/>
      <c r="D68" s="559"/>
      <c r="E68" s="559"/>
      <c r="F68" s="559"/>
      <c r="G68" s="559"/>
      <c r="H68" s="559"/>
      <c r="I68" s="559"/>
      <c r="J68" s="559"/>
      <c r="K68" s="559"/>
      <c r="L68" s="559"/>
      <c r="M68" s="559"/>
      <c r="N68" s="559"/>
      <c r="O68" s="559"/>
      <c r="P68" s="559"/>
      <c r="Q68" s="559"/>
      <c r="R68" s="559"/>
      <c r="S68" s="559"/>
      <c r="T68" s="559"/>
      <c r="U68" s="559"/>
    </row>
    <row r="71" spans="1:21" ht="15.75" x14ac:dyDescent="0.25">
      <c r="C71" s="558"/>
      <c r="D71" s="558"/>
      <c r="E71" s="558"/>
      <c r="F71" s="558"/>
      <c r="G71" s="558"/>
      <c r="H71" s="558"/>
      <c r="I71" s="558"/>
      <c r="J71" s="558"/>
      <c r="K71" s="558"/>
      <c r="L71" s="558"/>
      <c r="M71" s="558"/>
    </row>
  </sheetData>
  <mergeCells count="118">
    <mergeCell ref="B1:U1"/>
    <mergeCell ref="B2:U2"/>
    <mergeCell ref="B16:J16"/>
    <mergeCell ref="L16:P16"/>
    <mergeCell ref="Q16:T16"/>
    <mergeCell ref="U16:U17"/>
    <mergeCell ref="N3:U3"/>
    <mergeCell ref="R4:U4"/>
    <mergeCell ref="B6:U6"/>
    <mergeCell ref="B7:U7"/>
    <mergeCell ref="B8:U8"/>
    <mergeCell ref="B9:J9"/>
    <mergeCell ref="L9:P9"/>
    <mergeCell ref="Q9:T9"/>
    <mergeCell ref="U9:U10"/>
    <mergeCell ref="B11:B12"/>
    <mergeCell ref="K11:K12"/>
    <mergeCell ref="B13:U13"/>
    <mergeCell ref="B14:U14"/>
    <mergeCell ref="B15:U15"/>
    <mergeCell ref="C71:M71"/>
    <mergeCell ref="Q20:Q21"/>
    <mergeCell ref="R20:R21"/>
    <mergeCell ref="B27:B66"/>
    <mergeCell ref="C27:C28"/>
    <mergeCell ref="D27:D28"/>
    <mergeCell ref="E27:E28"/>
    <mergeCell ref="F27:F28"/>
    <mergeCell ref="B68:U68"/>
    <mergeCell ref="H27:H28"/>
    <mergeCell ref="I27:I28"/>
    <mergeCell ref="S20:S21"/>
    <mergeCell ref="T20:T21"/>
    <mergeCell ref="S27:S31"/>
    <mergeCell ref="B67:P67"/>
    <mergeCell ref="S32:S66"/>
    <mergeCell ref="T32:T66"/>
    <mergeCell ref="U32:U66"/>
    <mergeCell ref="N36:N66"/>
    <mergeCell ref="C32:C66"/>
    <mergeCell ref="D32:D66"/>
    <mergeCell ref="E32:E66"/>
    <mergeCell ref="J32:J66"/>
    <mergeCell ref="K32:K66"/>
    <mergeCell ref="B18:B19"/>
    <mergeCell ref="B20:B21"/>
    <mergeCell ref="L20:L21"/>
    <mergeCell ref="M20:M21"/>
    <mergeCell ref="N20:N21"/>
    <mergeCell ref="O20:O21"/>
    <mergeCell ref="P20:P21"/>
    <mergeCell ref="N27:N28"/>
    <mergeCell ref="O27:O28"/>
    <mergeCell ref="B22:U22"/>
    <mergeCell ref="B23:U23"/>
    <mergeCell ref="U20:U21"/>
    <mergeCell ref="T27:T31"/>
    <mergeCell ref="U27:U31"/>
    <mergeCell ref="R27:R31"/>
    <mergeCell ref="G29:G30"/>
    <mergeCell ref="H29:H30"/>
    <mergeCell ref="J27:J28"/>
    <mergeCell ref="K27:K28"/>
    <mergeCell ref="B24:U24"/>
    <mergeCell ref="B25:J25"/>
    <mergeCell ref="L25:P25"/>
    <mergeCell ref="Q25:T25"/>
    <mergeCell ref="U25:U26"/>
    <mergeCell ref="L32:L66"/>
    <mergeCell ref="M27:M31"/>
    <mergeCell ref="K29:K30"/>
    <mergeCell ref="C29:C30"/>
    <mergeCell ref="G27:G28"/>
    <mergeCell ref="D29:D30"/>
    <mergeCell ref="E29:E30"/>
    <mergeCell ref="F29:F30"/>
    <mergeCell ref="G32:G66"/>
    <mergeCell ref="H32:H66"/>
    <mergeCell ref="I32:I66"/>
    <mergeCell ref="I29:I30"/>
    <mergeCell ref="J29:J30"/>
    <mergeCell ref="L27:L31"/>
    <mergeCell ref="F32:F66"/>
    <mergeCell ref="M32:M66"/>
    <mergeCell ref="V8:X8"/>
    <mergeCell ref="V20:V21"/>
    <mergeCell ref="W20:W21"/>
    <mergeCell ref="X20:X21"/>
    <mergeCell ref="V27:V28"/>
    <mergeCell ref="V29:V30"/>
    <mergeCell ref="W27:W31"/>
    <mergeCell ref="V13:X17"/>
    <mergeCell ref="V22:X26"/>
    <mergeCell ref="X27:X31"/>
    <mergeCell ref="V9:W9"/>
    <mergeCell ref="X9:X10"/>
    <mergeCell ref="Y20:Y21"/>
    <mergeCell ref="V32:V34"/>
    <mergeCell ref="V36:V64"/>
    <mergeCell ref="W32:W64"/>
    <mergeCell ref="Y27:Y31"/>
    <mergeCell ref="Y32:Y64"/>
    <mergeCell ref="X32:X64"/>
    <mergeCell ref="Q32:Q66"/>
    <mergeCell ref="R32:R66"/>
    <mergeCell ref="P27:P31"/>
    <mergeCell ref="Q27:Q31"/>
    <mergeCell ref="N29:N30"/>
    <mergeCell ref="O29:O30"/>
    <mergeCell ref="O36:O66"/>
    <mergeCell ref="P42:P46"/>
    <mergeCell ref="P47:P51"/>
    <mergeCell ref="P52:P56"/>
    <mergeCell ref="P57:P61"/>
    <mergeCell ref="P62:P66"/>
    <mergeCell ref="N32:N35"/>
    <mergeCell ref="O32:O35"/>
    <mergeCell ref="P32:P41"/>
  </mergeCells>
  <conditionalFormatting sqref="E11:H11">
    <cfRule type="expression" dxfId="324" priority="15" stopIfTrue="1">
      <formula>+IF((#REF!+#REF!+#REF!+#REF!+#REF!)&lt;&gt;$K11,1,0)</formula>
    </cfRule>
  </conditionalFormatting>
  <conditionalFormatting sqref="E11:H11">
    <cfRule type="expression" dxfId="323" priority="14" stopIfTrue="1">
      <formula>+IF((#REF!+#REF!+#REF!+#REF!+#REF!)&lt;&gt;$K11,1,0)</formula>
    </cfRule>
  </conditionalFormatting>
  <conditionalFormatting sqref="O11">
    <cfRule type="expression" dxfId="322" priority="13" stopIfTrue="1">
      <formula>+IF((#REF!+#REF!+#REF!+#REF!+#REF!)&lt;&gt;$K11,1,0)</formula>
    </cfRule>
  </conditionalFormatting>
  <conditionalFormatting sqref="O11">
    <cfRule type="expression" dxfId="321" priority="12" stopIfTrue="1">
      <formula>+IF((#REF!+#REF!+#REF!+#REF!+#REF!)&lt;&gt;$K11,1,0)</formula>
    </cfRule>
  </conditionalFormatting>
  <conditionalFormatting sqref="O11">
    <cfRule type="expression" dxfId="320" priority="11" stopIfTrue="1">
      <formula>+IF((#REF!+#REF!+#REF!+#REF!+#REF!)&lt;&gt;$K11,1,0)</formula>
    </cfRule>
  </conditionalFormatting>
  <conditionalFormatting sqref="E19:H19">
    <cfRule type="expression" dxfId="319" priority="10" stopIfTrue="1">
      <formula>+IF((#REF!+#REF!+#REF!+#REF!+#REF!)&lt;&gt;$K19,1,0)</formula>
    </cfRule>
  </conditionalFormatting>
  <conditionalFormatting sqref="E20:H20">
    <cfRule type="expression" dxfId="318" priority="9" stopIfTrue="1">
      <formula>+IF((#REF!+#REF!+#REF!+#REF!+#REF!)&lt;&gt;$K20,1,0)</formula>
    </cfRule>
  </conditionalFormatting>
  <conditionalFormatting sqref="O20">
    <cfRule type="expression" dxfId="317" priority="8" stopIfTrue="1">
      <formula>+IF((#REF!+#REF!+#REF!+#REF!+#REF!)&lt;&gt;$K21,1,0)</formula>
    </cfRule>
  </conditionalFormatting>
  <conditionalFormatting sqref="O18">
    <cfRule type="expression" dxfId="316" priority="7" stopIfTrue="1">
      <formula>+IF((#REF!+#REF!+#REF!+#REF!+#REF!)&lt;&gt;$K18,1,0)</formula>
    </cfRule>
  </conditionalFormatting>
  <conditionalFormatting sqref="E27:H28">
    <cfRule type="expression" dxfId="315" priority="6" stopIfTrue="1">
      <formula>+IF((#REF!+#REF!+#REF!+#REF!+#REF!)&lt;&gt;$K27,1,0)</formula>
    </cfRule>
  </conditionalFormatting>
  <conditionalFormatting sqref="E27:H28">
    <cfRule type="expression" dxfId="314" priority="5" stopIfTrue="1">
      <formula>+IF((#REF!+#REF!+#REF!+#REF!+#REF!)&lt;&gt;$K27,1,0)</formula>
    </cfRule>
  </conditionalFormatting>
  <conditionalFormatting sqref="F29:F30">
    <cfRule type="expression" dxfId="313" priority="2" stopIfTrue="1">
      <formula>+IF((#REF!+#REF!+#REF!+#REF!+#REF!)&lt;&gt;$K29,1,0)</formula>
    </cfRule>
  </conditionalFormatting>
  <conditionalFormatting sqref="F29:F30">
    <cfRule type="expression" dxfId="312" priority="1" stopIfTrue="1">
      <formula>+IF((#REF!+#REF!+#REF!+#REF!+#REF!)&lt;&gt;$K29,1,0)</formula>
    </cfRule>
  </conditionalFormatting>
  <conditionalFormatting sqref="E29:E30">
    <cfRule type="expression" dxfId="311" priority="4" stopIfTrue="1">
      <formula>+IF((#REF!+#REF!+#REF!+#REF!+#REF!)&lt;&gt;$K29,1,0)</formula>
    </cfRule>
  </conditionalFormatting>
  <conditionalFormatting sqref="E29:E30">
    <cfRule type="expression" dxfId="310" priority="3" stopIfTrue="1">
      <formula>+IF((#REF!+#REF!+#REF!+#REF!+#REF!)&lt;&gt;$K29,1,0)</formula>
    </cfRule>
  </conditionalFormatting>
  <dataValidations count="3">
    <dataValidation type="list" allowBlank="1" showInputMessage="1" showErrorMessage="1" sqref="K27:K28">
      <formula1>$H$27:$H$31</formula1>
    </dataValidation>
    <dataValidation type="list" allowBlank="1" showInputMessage="1" showErrorMessage="1" sqref="J27:J28">
      <formula1>$T$33:$T$41</formula1>
    </dataValidation>
    <dataValidation type="list" allowBlank="1" showInputMessage="1" showErrorMessage="1" sqref="P11:P12 P18:P20 J18:K21 J11:J12 K11">
      <formula1>#REF!</formula1>
    </dataValidation>
  </dataValidations>
  <pageMargins left="0.70866141732283472" right="0.70866141732283472" top="0.74803149606299213" bottom="0.74803149606299213" header="0.31496062992125984" footer="0.31496062992125984"/>
  <pageSetup paperSize="14" scale="48" fitToWidth="2" fitToHeight="2" orientation="landscape"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V41"/>
  <sheetViews>
    <sheetView zoomScale="90" zoomScaleNormal="90" workbookViewId="0">
      <selection activeCell="H16" sqref="H16:H17"/>
    </sheetView>
  </sheetViews>
  <sheetFormatPr baseColWidth="10" defaultColWidth="11.42578125" defaultRowHeight="14.25" x14ac:dyDescent="0.2"/>
  <cols>
    <col min="1" max="1" width="5.140625" style="90" customWidth="1"/>
    <col min="2" max="2" width="17.42578125" style="90" customWidth="1"/>
    <col min="3" max="3" width="23.42578125" style="90" customWidth="1"/>
    <col min="4" max="4" width="11.42578125" style="90"/>
    <col min="5" max="5" width="4.7109375" style="90" customWidth="1"/>
    <col min="6" max="6" width="4.85546875" style="90" customWidth="1"/>
    <col min="7" max="7" width="5.28515625" style="90" customWidth="1"/>
    <col min="8" max="8" width="5.140625" style="90" customWidth="1"/>
    <col min="9" max="9" width="9.85546875" style="90" customWidth="1"/>
    <col min="10" max="10" width="11.42578125" style="90"/>
    <col min="11" max="11" width="21.85546875" style="90" customWidth="1"/>
    <col min="12" max="12" width="5.85546875" style="90" customWidth="1"/>
    <col min="13" max="13" width="20.85546875" style="90" customWidth="1"/>
    <col min="14" max="14" width="12.42578125" style="90" bestFit="1" customWidth="1"/>
    <col min="15" max="15" width="9.140625" style="90" customWidth="1"/>
    <col min="16" max="16" width="19.28515625" style="90" customWidth="1"/>
    <col min="17" max="17" width="18.140625" style="90" customWidth="1"/>
    <col min="18" max="18" width="17.7109375" style="90" customWidth="1"/>
    <col min="19" max="19" width="14.28515625" style="90" customWidth="1"/>
    <col min="20" max="20" width="15.85546875" style="90" customWidth="1"/>
    <col min="21" max="21" width="16.7109375" style="90" customWidth="1"/>
    <col min="22" max="16384" width="11.42578125" style="90"/>
  </cols>
  <sheetData>
    <row r="2" spans="2:22" ht="15.75" x14ac:dyDescent="0.2">
      <c r="L2" s="581" t="s">
        <v>0</v>
      </c>
      <c r="M2" s="581"/>
      <c r="N2" s="581"/>
      <c r="O2" s="581"/>
      <c r="P2" s="581"/>
      <c r="Q2" s="581"/>
      <c r="R2" s="581"/>
      <c r="S2" s="581"/>
      <c r="T2" s="581"/>
      <c r="U2" s="581"/>
    </row>
    <row r="3" spans="2:22" ht="18" x14ac:dyDescent="0.2">
      <c r="L3" s="582" t="s">
        <v>170</v>
      </c>
      <c r="M3" s="582"/>
      <c r="N3" s="582"/>
      <c r="O3" s="582"/>
      <c r="P3" s="582"/>
      <c r="Q3" s="582"/>
      <c r="R3" s="582"/>
      <c r="S3" s="582"/>
      <c r="T3" s="582"/>
      <c r="U3" s="582"/>
    </row>
    <row r="4" spans="2:22" ht="18" x14ac:dyDescent="0.2">
      <c r="L4" s="41"/>
      <c r="M4" s="41"/>
      <c r="N4" s="41"/>
      <c r="O4" s="41"/>
      <c r="P4" s="41"/>
      <c r="Q4" s="41"/>
      <c r="R4" s="41"/>
      <c r="S4" s="41"/>
      <c r="T4" s="41"/>
      <c r="U4" s="41"/>
    </row>
    <row r="6" spans="2:22" ht="16.5" x14ac:dyDescent="0.2">
      <c r="B6" s="521" t="s">
        <v>23</v>
      </c>
      <c r="C6" s="521"/>
      <c r="D6" s="521"/>
      <c r="E6" s="521"/>
      <c r="F6" s="521"/>
      <c r="G6" s="521"/>
      <c r="H6" s="521"/>
      <c r="I6" s="521"/>
      <c r="J6" s="521"/>
      <c r="K6" s="521"/>
      <c r="L6" s="521"/>
      <c r="M6" s="521"/>
      <c r="N6" s="521"/>
      <c r="O6" s="521"/>
      <c r="P6" s="521"/>
      <c r="Q6" s="521"/>
      <c r="R6" s="521"/>
      <c r="S6" s="521"/>
      <c r="T6" s="521"/>
      <c r="U6" s="521"/>
    </row>
    <row r="7" spans="2:22" ht="16.5" x14ac:dyDescent="0.2">
      <c r="B7" s="521" t="s">
        <v>107</v>
      </c>
      <c r="C7" s="521"/>
      <c r="D7" s="521"/>
      <c r="E7" s="521"/>
      <c r="F7" s="521"/>
      <c r="G7" s="521"/>
      <c r="H7" s="521"/>
      <c r="I7" s="521"/>
      <c r="J7" s="521"/>
      <c r="K7" s="521"/>
      <c r="L7" s="521"/>
      <c r="M7" s="521"/>
      <c r="N7" s="521"/>
      <c r="O7" s="521"/>
      <c r="P7" s="521"/>
      <c r="Q7" s="521"/>
      <c r="R7" s="521"/>
      <c r="S7" s="521"/>
      <c r="T7" s="521"/>
      <c r="U7" s="521"/>
    </row>
    <row r="8" spans="2:22" ht="16.5" x14ac:dyDescent="0.2">
      <c r="B8" s="521" t="s">
        <v>108</v>
      </c>
      <c r="C8" s="521"/>
      <c r="D8" s="521"/>
      <c r="E8" s="521"/>
      <c r="F8" s="521"/>
      <c r="G8" s="521"/>
      <c r="H8" s="521"/>
      <c r="I8" s="521"/>
      <c r="J8" s="521"/>
      <c r="K8" s="521"/>
      <c r="L8" s="521"/>
      <c r="M8" s="521"/>
      <c r="N8" s="521"/>
      <c r="O8" s="521"/>
      <c r="P8" s="521"/>
      <c r="Q8" s="521"/>
      <c r="R8" s="521"/>
      <c r="S8" s="521"/>
      <c r="T8" s="521"/>
      <c r="U8" s="521"/>
    </row>
    <row r="9" spans="2:22" ht="10.5" customHeight="1" x14ac:dyDescent="0.2">
      <c r="B9" s="573" t="s">
        <v>3</v>
      </c>
      <c r="C9" s="573"/>
      <c r="D9" s="573"/>
      <c r="E9" s="573"/>
      <c r="F9" s="573"/>
      <c r="G9" s="573"/>
      <c r="H9" s="573"/>
      <c r="I9" s="573"/>
      <c r="J9" s="573"/>
      <c r="K9" s="84"/>
      <c r="L9" s="515" t="s">
        <v>72</v>
      </c>
      <c r="M9" s="515"/>
      <c r="N9" s="515"/>
      <c r="O9" s="515"/>
      <c r="P9" s="515"/>
      <c r="Q9" s="509" t="s">
        <v>4</v>
      </c>
      <c r="R9" s="509"/>
      <c r="S9" s="509"/>
      <c r="T9" s="509"/>
      <c r="U9" s="520" t="s">
        <v>40</v>
      </c>
    </row>
    <row r="10" spans="2:22" ht="42.75" customHeight="1" x14ac:dyDescent="0.2">
      <c r="B10" s="85" t="s">
        <v>51</v>
      </c>
      <c r="C10" s="85" t="s">
        <v>12</v>
      </c>
      <c r="D10" s="85" t="s">
        <v>52</v>
      </c>
      <c r="E10" s="85" t="s">
        <v>24</v>
      </c>
      <c r="F10" s="85" t="s">
        <v>25</v>
      </c>
      <c r="G10" s="85" t="s">
        <v>26</v>
      </c>
      <c r="H10" s="85" t="s">
        <v>27</v>
      </c>
      <c r="I10" s="85" t="s">
        <v>28</v>
      </c>
      <c r="J10" s="85" t="s">
        <v>29</v>
      </c>
      <c r="K10" s="85" t="s">
        <v>47</v>
      </c>
      <c r="L10" s="86" t="s">
        <v>14</v>
      </c>
      <c r="M10" s="86" t="s">
        <v>79</v>
      </c>
      <c r="N10" s="86" t="s">
        <v>15</v>
      </c>
      <c r="O10" s="86" t="s">
        <v>16</v>
      </c>
      <c r="P10" s="85" t="s">
        <v>48</v>
      </c>
      <c r="Q10" s="86" t="s">
        <v>17</v>
      </c>
      <c r="R10" s="86" t="s">
        <v>18</v>
      </c>
      <c r="S10" s="86" t="s">
        <v>19</v>
      </c>
      <c r="T10" s="198" t="s">
        <v>361</v>
      </c>
      <c r="U10" s="520"/>
    </row>
    <row r="11" spans="2:22" ht="66.75" customHeight="1" x14ac:dyDescent="0.2">
      <c r="B11" s="517" t="s">
        <v>109</v>
      </c>
      <c r="C11" s="55" t="s">
        <v>110</v>
      </c>
      <c r="D11" s="55" t="s">
        <v>111</v>
      </c>
      <c r="E11" s="56">
        <v>0</v>
      </c>
      <c r="F11" s="56">
        <v>0</v>
      </c>
      <c r="G11" s="56">
        <v>0</v>
      </c>
      <c r="H11" s="57">
        <v>1</v>
      </c>
      <c r="I11" s="58">
        <f>SUM(E11:H11)</f>
        <v>1</v>
      </c>
      <c r="J11" s="59" t="s">
        <v>112</v>
      </c>
      <c r="K11" s="59" t="s">
        <v>113</v>
      </c>
      <c r="L11" s="563">
        <v>1</v>
      </c>
      <c r="M11" s="500" t="s">
        <v>114</v>
      </c>
      <c r="N11" s="565" t="s">
        <v>115</v>
      </c>
      <c r="O11" s="519">
        <v>1</v>
      </c>
      <c r="P11" s="500" t="s">
        <v>116</v>
      </c>
      <c r="Q11" s="516">
        <f>R11+S11+T11</f>
        <v>42000000</v>
      </c>
      <c r="R11" s="567">
        <v>42000000</v>
      </c>
      <c r="S11" s="510">
        <v>0</v>
      </c>
      <c r="T11" s="510">
        <v>0</v>
      </c>
      <c r="U11" s="510">
        <v>0</v>
      </c>
    </row>
    <row r="12" spans="2:22" ht="49.5" customHeight="1" x14ac:dyDescent="0.2">
      <c r="B12" s="517"/>
      <c r="C12" s="55" t="s">
        <v>117</v>
      </c>
      <c r="D12" s="55" t="s">
        <v>111</v>
      </c>
      <c r="E12" s="56">
        <v>1</v>
      </c>
      <c r="F12" s="56">
        <v>0</v>
      </c>
      <c r="G12" s="56">
        <v>0</v>
      </c>
      <c r="H12" s="57">
        <v>0</v>
      </c>
      <c r="I12" s="58">
        <v>1</v>
      </c>
      <c r="J12" s="59" t="s">
        <v>112</v>
      </c>
      <c r="K12" s="59" t="s">
        <v>113</v>
      </c>
      <c r="L12" s="564"/>
      <c r="M12" s="500"/>
      <c r="N12" s="566"/>
      <c r="O12" s="519"/>
      <c r="P12" s="500"/>
      <c r="Q12" s="516"/>
      <c r="R12" s="567"/>
      <c r="S12" s="510"/>
      <c r="T12" s="510"/>
      <c r="U12" s="510"/>
    </row>
    <row r="13" spans="2:22" ht="71.25" customHeight="1" x14ac:dyDescent="0.2">
      <c r="B13" s="517"/>
      <c r="C13" s="223" t="s">
        <v>369</v>
      </c>
      <c r="D13" s="55" t="s">
        <v>370</v>
      </c>
      <c r="E13" s="57">
        <v>0</v>
      </c>
      <c r="F13" s="57">
        <v>2</v>
      </c>
      <c r="G13" s="57">
        <v>2</v>
      </c>
      <c r="H13" s="57">
        <v>2</v>
      </c>
      <c r="I13" s="58">
        <f>SUM(E13:H13)</f>
        <v>6</v>
      </c>
      <c r="J13" s="59" t="s">
        <v>112</v>
      </c>
      <c r="K13" s="59" t="s">
        <v>113</v>
      </c>
      <c r="L13" s="206">
        <v>2</v>
      </c>
      <c r="M13" s="205" t="s">
        <v>119</v>
      </c>
      <c r="N13" s="55" t="s">
        <v>115</v>
      </c>
      <c r="O13" s="87">
        <v>2</v>
      </c>
      <c r="P13" s="59" t="s">
        <v>116</v>
      </c>
      <c r="Q13" s="181">
        <f>R13+S13+T13</f>
        <v>150000000</v>
      </c>
      <c r="R13" s="66">
        <v>150000000</v>
      </c>
      <c r="S13" s="67">
        <v>0</v>
      </c>
      <c r="T13" s="67">
        <v>0</v>
      </c>
      <c r="U13" s="67">
        <v>0</v>
      </c>
    </row>
    <row r="14" spans="2:22" ht="94.5" x14ac:dyDescent="0.2">
      <c r="B14" s="517" t="s">
        <v>120</v>
      </c>
      <c r="C14" s="579" t="s">
        <v>121</v>
      </c>
      <c r="D14" s="55" t="s">
        <v>122</v>
      </c>
      <c r="E14" s="69">
        <v>1</v>
      </c>
      <c r="F14" s="69">
        <v>1</v>
      </c>
      <c r="G14" s="69">
        <v>1</v>
      </c>
      <c r="H14" s="69">
        <v>1</v>
      </c>
      <c r="I14" s="70">
        <v>1</v>
      </c>
      <c r="J14" s="59" t="s">
        <v>112</v>
      </c>
      <c r="K14" s="59" t="s">
        <v>113</v>
      </c>
      <c r="L14" s="564">
        <v>3</v>
      </c>
      <c r="M14" s="500" t="s">
        <v>123</v>
      </c>
      <c r="N14" s="569" t="s">
        <v>124</v>
      </c>
      <c r="O14" s="562">
        <v>1</v>
      </c>
      <c r="P14" s="490" t="s">
        <v>125</v>
      </c>
      <c r="Q14" s="571">
        <f>R14+S14+T14</f>
        <v>515000000</v>
      </c>
      <c r="R14" s="567">
        <f>539000000-40000000-150000000+42000000-6000000</f>
        <v>385000000</v>
      </c>
      <c r="S14" s="510">
        <v>0</v>
      </c>
      <c r="T14" s="510">
        <f>150000000-20000000</f>
        <v>130000000</v>
      </c>
      <c r="U14" s="575">
        <f>97927501-25000000</f>
        <v>72927501</v>
      </c>
      <c r="V14" s="190"/>
    </row>
    <row r="15" spans="2:22" ht="48" customHeight="1" x14ac:dyDescent="0.2">
      <c r="B15" s="517"/>
      <c r="C15" s="580"/>
      <c r="D15" s="55" t="s">
        <v>126</v>
      </c>
      <c r="E15" s="56">
        <v>1</v>
      </c>
      <c r="F15" s="56">
        <v>0</v>
      </c>
      <c r="G15" s="56">
        <v>0</v>
      </c>
      <c r="H15" s="56">
        <v>0</v>
      </c>
      <c r="I15" s="58">
        <f t="shared" ref="I15:I25" si="0">SUM(E15:H15)</f>
        <v>1</v>
      </c>
      <c r="J15" s="59" t="s">
        <v>112</v>
      </c>
      <c r="K15" s="59" t="s">
        <v>118</v>
      </c>
      <c r="L15" s="568"/>
      <c r="M15" s="500"/>
      <c r="N15" s="569"/>
      <c r="O15" s="562"/>
      <c r="P15" s="493"/>
      <c r="Q15" s="571"/>
      <c r="R15" s="567"/>
      <c r="S15" s="510"/>
      <c r="T15" s="510"/>
      <c r="U15" s="575"/>
    </row>
    <row r="16" spans="2:22" ht="60" customHeight="1" x14ac:dyDescent="0.2">
      <c r="B16" s="517"/>
      <c r="C16" s="577" t="s">
        <v>127</v>
      </c>
      <c r="D16" s="578" t="s">
        <v>128</v>
      </c>
      <c r="E16" s="570">
        <v>1</v>
      </c>
      <c r="F16" s="570">
        <v>1</v>
      </c>
      <c r="G16" s="570">
        <v>1</v>
      </c>
      <c r="H16" s="570">
        <v>1</v>
      </c>
      <c r="I16" s="508">
        <f t="shared" si="0"/>
        <v>4</v>
      </c>
      <c r="J16" s="500" t="s">
        <v>112</v>
      </c>
      <c r="K16" s="500" t="s">
        <v>118</v>
      </c>
      <c r="L16" s="58">
        <v>4</v>
      </c>
      <c r="M16" s="72" t="s">
        <v>129</v>
      </c>
      <c r="N16" s="64" t="s">
        <v>115</v>
      </c>
      <c r="O16" s="87">
        <v>1</v>
      </c>
      <c r="P16" s="59" t="s">
        <v>116</v>
      </c>
      <c r="Q16" s="182">
        <f>R16+S16+T16</f>
        <v>371363753</v>
      </c>
      <c r="R16" s="62">
        <f>273000000-36556247+48720000+20000000+66200000</f>
        <v>371363753</v>
      </c>
      <c r="S16" s="63">
        <v>0</v>
      </c>
      <c r="T16" s="63">
        <v>0</v>
      </c>
      <c r="U16" s="62">
        <v>0</v>
      </c>
      <c r="V16" s="190"/>
    </row>
    <row r="17" spans="2:21" ht="63" customHeight="1" x14ac:dyDescent="0.2">
      <c r="B17" s="517"/>
      <c r="C17" s="577"/>
      <c r="D17" s="578"/>
      <c r="E17" s="570"/>
      <c r="F17" s="570"/>
      <c r="G17" s="570"/>
      <c r="H17" s="570"/>
      <c r="I17" s="508"/>
      <c r="J17" s="500"/>
      <c r="K17" s="500"/>
      <c r="L17" s="58">
        <v>5</v>
      </c>
      <c r="M17" s="72" t="s">
        <v>130</v>
      </c>
      <c r="N17" s="64" t="s">
        <v>115</v>
      </c>
      <c r="O17" s="87">
        <v>1</v>
      </c>
      <c r="P17" s="59" t="s">
        <v>116</v>
      </c>
      <c r="Q17" s="182">
        <f>R17+S17+T17</f>
        <v>95000000</v>
      </c>
      <c r="R17" s="62">
        <v>75000000</v>
      </c>
      <c r="S17" s="63">
        <v>0</v>
      </c>
      <c r="T17" s="63">
        <v>20000000</v>
      </c>
      <c r="U17" s="184">
        <f>19500000-9750000</f>
        <v>9750000</v>
      </c>
    </row>
    <row r="18" spans="2:21" ht="92.25" customHeight="1" x14ac:dyDescent="0.2">
      <c r="B18" s="517"/>
      <c r="C18" s="68" t="s">
        <v>131</v>
      </c>
      <c r="D18" s="55" t="s">
        <v>132</v>
      </c>
      <c r="E18" s="56">
        <v>1</v>
      </c>
      <c r="F18" s="56">
        <v>1</v>
      </c>
      <c r="G18" s="56">
        <v>1</v>
      </c>
      <c r="H18" s="56">
        <v>1</v>
      </c>
      <c r="I18" s="58">
        <f>SUM(E18:H18)</f>
        <v>4</v>
      </c>
      <c r="J18" s="59" t="s">
        <v>112</v>
      </c>
      <c r="K18" s="59" t="s">
        <v>30</v>
      </c>
      <c r="L18" s="58">
        <v>6</v>
      </c>
      <c r="M18" s="74" t="s">
        <v>133</v>
      </c>
      <c r="N18" s="75" t="s">
        <v>115</v>
      </c>
      <c r="O18" s="58">
        <v>1</v>
      </c>
      <c r="P18" s="76" t="s">
        <v>134</v>
      </c>
      <c r="Q18" s="77">
        <f>R18+S18+T18</f>
        <v>70000000</v>
      </c>
      <c r="R18" s="66">
        <v>70000000</v>
      </c>
      <c r="S18" s="63">
        <v>0</v>
      </c>
      <c r="T18" s="63">
        <v>0</v>
      </c>
      <c r="U18" s="62">
        <v>0</v>
      </c>
    </row>
    <row r="19" spans="2:21" ht="63" customHeight="1" x14ac:dyDescent="0.2">
      <c r="B19" s="517"/>
      <c r="C19" s="221" t="s">
        <v>381</v>
      </c>
      <c r="D19" s="222" t="s">
        <v>382</v>
      </c>
      <c r="E19" s="56">
        <v>0</v>
      </c>
      <c r="F19" s="56">
        <v>1</v>
      </c>
      <c r="G19" s="56">
        <v>1</v>
      </c>
      <c r="H19" s="56">
        <v>1</v>
      </c>
      <c r="I19" s="58">
        <f t="shared" si="0"/>
        <v>3</v>
      </c>
      <c r="J19" s="59" t="s">
        <v>112</v>
      </c>
      <c r="K19" s="59" t="s">
        <v>118</v>
      </c>
      <c r="L19" s="508">
        <v>7</v>
      </c>
      <c r="M19" s="488" t="s">
        <v>135</v>
      </c>
      <c r="N19" s="569" t="s">
        <v>115</v>
      </c>
      <c r="O19" s="519">
        <v>4</v>
      </c>
      <c r="P19" s="488" t="s">
        <v>134</v>
      </c>
      <c r="Q19" s="574">
        <f>R19+S19+T19</f>
        <v>50000000</v>
      </c>
      <c r="R19" s="567">
        <f>70000000-20000000</f>
        <v>50000000</v>
      </c>
      <c r="S19" s="510">
        <v>0</v>
      </c>
      <c r="T19" s="510">
        <v>0</v>
      </c>
      <c r="U19" s="576">
        <f>254877231+9750000+53050000+27000000</f>
        <v>344677231</v>
      </c>
    </row>
    <row r="20" spans="2:21" ht="60" customHeight="1" x14ac:dyDescent="0.2">
      <c r="B20" s="517"/>
      <c r="C20" s="68" t="s">
        <v>136</v>
      </c>
      <c r="D20" s="55" t="s">
        <v>137</v>
      </c>
      <c r="E20" s="56">
        <v>2</v>
      </c>
      <c r="F20" s="80">
        <v>2</v>
      </c>
      <c r="G20" s="56">
        <v>2</v>
      </c>
      <c r="H20" s="56">
        <v>2</v>
      </c>
      <c r="I20" s="58">
        <f>SUM(E20:H20)</f>
        <v>8</v>
      </c>
      <c r="J20" s="59" t="s">
        <v>112</v>
      </c>
      <c r="K20" s="59" t="s">
        <v>118</v>
      </c>
      <c r="L20" s="508"/>
      <c r="M20" s="488"/>
      <c r="N20" s="569"/>
      <c r="O20" s="519"/>
      <c r="P20" s="488"/>
      <c r="Q20" s="574"/>
      <c r="R20" s="567"/>
      <c r="S20" s="510"/>
      <c r="T20" s="510"/>
      <c r="U20" s="576"/>
    </row>
    <row r="21" spans="2:21" ht="51" customHeight="1" x14ac:dyDescent="0.2">
      <c r="B21" s="517"/>
      <c r="C21" s="78" t="s">
        <v>138</v>
      </c>
      <c r="D21" s="79" t="s">
        <v>139</v>
      </c>
      <c r="E21" s="56">
        <v>0</v>
      </c>
      <c r="F21" s="56">
        <v>1</v>
      </c>
      <c r="G21" s="56">
        <v>1</v>
      </c>
      <c r="H21" s="56">
        <v>1</v>
      </c>
      <c r="I21" s="58">
        <v>3</v>
      </c>
      <c r="J21" s="59" t="s">
        <v>112</v>
      </c>
      <c r="K21" s="59" t="s">
        <v>118</v>
      </c>
      <c r="L21" s="508"/>
      <c r="M21" s="488"/>
      <c r="N21" s="569"/>
      <c r="O21" s="519"/>
      <c r="P21" s="488"/>
      <c r="Q21" s="574"/>
      <c r="R21" s="567"/>
      <c r="S21" s="510"/>
      <c r="T21" s="510"/>
      <c r="U21" s="576"/>
    </row>
    <row r="22" spans="2:21" ht="52.5" customHeight="1" x14ac:dyDescent="0.2">
      <c r="B22" s="517" t="s">
        <v>140</v>
      </c>
      <c r="C22" s="304" t="s">
        <v>141</v>
      </c>
      <c r="D22" s="55" t="s">
        <v>142</v>
      </c>
      <c r="E22" s="305">
        <v>0</v>
      </c>
      <c r="F22" s="56">
        <v>2</v>
      </c>
      <c r="G22" s="56">
        <v>2</v>
      </c>
      <c r="H22" s="56">
        <v>2</v>
      </c>
      <c r="I22" s="58">
        <f t="shared" si="0"/>
        <v>6</v>
      </c>
      <c r="J22" s="59" t="s">
        <v>112</v>
      </c>
      <c r="K22" s="59" t="s">
        <v>118</v>
      </c>
      <c r="L22" s="508">
        <v>8</v>
      </c>
      <c r="M22" s="500" t="s">
        <v>143</v>
      </c>
      <c r="N22" s="55" t="s">
        <v>144</v>
      </c>
      <c r="O22" s="58">
        <v>2</v>
      </c>
      <c r="P22" s="59" t="s">
        <v>116</v>
      </c>
      <c r="Q22" s="571">
        <f>R22+S22+T22</f>
        <v>753280000</v>
      </c>
      <c r="R22" s="567">
        <f>760000000-150000000-6720000</f>
        <v>603280000</v>
      </c>
      <c r="S22" s="572">
        <v>0</v>
      </c>
      <c r="T22" s="572">
        <v>150000000</v>
      </c>
      <c r="U22" s="575">
        <v>25000000</v>
      </c>
    </row>
    <row r="23" spans="2:21" ht="60" customHeight="1" x14ac:dyDescent="0.2">
      <c r="B23" s="517"/>
      <c r="C23" s="55" t="s">
        <v>145</v>
      </c>
      <c r="D23" s="55" t="s">
        <v>146</v>
      </c>
      <c r="E23" s="61">
        <v>1</v>
      </c>
      <c r="F23" s="61">
        <v>1</v>
      </c>
      <c r="G23" s="61">
        <v>1</v>
      </c>
      <c r="H23" s="61">
        <v>1</v>
      </c>
      <c r="I23" s="58">
        <f>SUM(E23:H23)</f>
        <v>4</v>
      </c>
      <c r="J23" s="59" t="s">
        <v>112</v>
      </c>
      <c r="K23" s="59" t="s">
        <v>118</v>
      </c>
      <c r="L23" s="508"/>
      <c r="M23" s="500"/>
      <c r="N23" s="55" t="s">
        <v>115</v>
      </c>
      <c r="O23" s="58">
        <v>1</v>
      </c>
      <c r="P23" s="59" t="s">
        <v>116</v>
      </c>
      <c r="Q23" s="571"/>
      <c r="R23" s="567"/>
      <c r="S23" s="572"/>
      <c r="T23" s="572"/>
      <c r="U23" s="575"/>
    </row>
    <row r="24" spans="2:21" ht="47.25" customHeight="1" x14ac:dyDescent="0.2">
      <c r="B24" s="517"/>
      <c r="C24" s="55" t="s">
        <v>147</v>
      </c>
      <c r="D24" s="55" t="s">
        <v>148</v>
      </c>
      <c r="E24" s="61">
        <v>2</v>
      </c>
      <c r="F24" s="61">
        <v>2</v>
      </c>
      <c r="G24" s="61">
        <v>2</v>
      </c>
      <c r="H24" s="61">
        <v>2</v>
      </c>
      <c r="I24" s="58">
        <f>SUM(E24:H24)</f>
        <v>8</v>
      </c>
      <c r="J24" s="59" t="s">
        <v>112</v>
      </c>
      <c r="K24" s="59" t="s">
        <v>118</v>
      </c>
      <c r="L24" s="508"/>
      <c r="M24" s="500"/>
      <c r="N24" s="55" t="s">
        <v>149</v>
      </c>
      <c r="O24" s="58">
        <v>2</v>
      </c>
      <c r="P24" s="59" t="s">
        <v>116</v>
      </c>
      <c r="Q24" s="571"/>
      <c r="R24" s="567"/>
      <c r="S24" s="572"/>
      <c r="T24" s="572"/>
      <c r="U24" s="575"/>
    </row>
    <row r="25" spans="2:21" ht="50.25" customHeight="1" x14ac:dyDescent="0.2">
      <c r="B25" s="517"/>
      <c r="C25" s="304" t="s">
        <v>150</v>
      </c>
      <c r="D25" s="304" t="s">
        <v>150</v>
      </c>
      <c r="E25" s="302">
        <v>0</v>
      </c>
      <c r="F25" s="61">
        <v>3</v>
      </c>
      <c r="G25" s="61">
        <v>4</v>
      </c>
      <c r="H25" s="61">
        <v>3</v>
      </c>
      <c r="I25" s="58">
        <f t="shared" si="0"/>
        <v>10</v>
      </c>
      <c r="J25" s="59" t="s">
        <v>112</v>
      </c>
      <c r="K25" s="59" t="s">
        <v>118</v>
      </c>
      <c r="L25" s="508"/>
      <c r="M25" s="500"/>
      <c r="N25" s="55" t="s">
        <v>150</v>
      </c>
      <c r="O25" s="87">
        <v>3</v>
      </c>
      <c r="P25" s="59" t="s">
        <v>116</v>
      </c>
      <c r="Q25" s="571"/>
      <c r="R25" s="567"/>
      <c r="S25" s="572"/>
      <c r="T25" s="572"/>
      <c r="U25" s="575"/>
    </row>
    <row r="26" spans="2:21" ht="69.75" customHeight="1" x14ac:dyDescent="0.2">
      <c r="B26" s="517"/>
      <c r="C26" s="55" t="s">
        <v>151</v>
      </c>
      <c r="D26" s="55" t="s">
        <v>152</v>
      </c>
      <c r="E26" s="56">
        <v>0</v>
      </c>
      <c r="F26" s="56">
        <v>1</v>
      </c>
      <c r="G26" s="56">
        <v>1</v>
      </c>
      <c r="H26" s="56">
        <v>1</v>
      </c>
      <c r="I26" s="58">
        <v>3</v>
      </c>
      <c r="J26" s="59" t="s">
        <v>112</v>
      </c>
      <c r="K26" s="59" t="s">
        <v>118</v>
      </c>
      <c r="L26" s="58">
        <v>9</v>
      </c>
      <c r="M26" s="60" t="s">
        <v>153</v>
      </c>
      <c r="N26" s="76" t="s">
        <v>115</v>
      </c>
      <c r="O26" s="87">
        <v>1</v>
      </c>
      <c r="P26" s="59" t="s">
        <v>116</v>
      </c>
      <c r="Q26" s="181">
        <f>R26+S26+T26</f>
        <v>0</v>
      </c>
      <c r="R26" s="62">
        <f>42000000+6720000-48720000</f>
        <v>0</v>
      </c>
      <c r="S26" s="81">
        <v>0</v>
      </c>
      <c r="T26" s="81">
        <v>0</v>
      </c>
      <c r="U26" s="63">
        <v>0</v>
      </c>
    </row>
    <row r="27" spans="2:21" ht="16.5" x14ac:dyDescent="0.2">
      <c r="B27" s="521" t="s">
        <v>154</v>
      </c>
      <c r="C27" s="521"/>
      <c r="D27" s="521"/>
      <c r="E27" s="521"/>
      <c r="F27" s="521"/>
      <c r="G27" s="521"/>
      <c r="H27" s="521"/>
      <c r="I27" s="521"/>
      <c r="J27" s="521"/>
      <c r="K27" s="521"/>
      <c r="L27" s="521"/>
      <c r="M27" s="521"/>
      <c r="N27" s="521"/>
      <c r="O27" s="521"/>
      <c r="P27" s="521"/>
      <c r="Q27" s="521"/>
      <c r="R27" s="521"/>
      <c r="S27" s="521"/>
      <c r="T27" s="521"/>
      <c r="U27" s="521"/>
    </row>
    <row r="28" spans="2:21" ht="16.5" x14ac:dyDescent="0.2">
      <c r="B28" s="521" t="s">
        <v>155</v>
      </c>
      <c r="C28" s="521"/>
      <c r="D28" s="521"/>
      <c r="E28" s="521"/>
      <c r="F28" s="521"/>
      <c r="G28" s="521"/>
      <c r="H28" s="521"/>
      <c r="I28" s="521"/>
      <c r="J28" s="521"/>
      <c r="K28" s="521"/>
      <c r="L28" s="521"/>
      <c r="M28" s="521"/>
      <c r="N28" s="521"/>
      <c r="O28" s="521"/>
      <c r="P28" s="521"/>
      <c r="Q28" s="521"/>
      <c r="R28" s="521"/>
      <c r="S28" s="521"/>
      <c r="T28" s="521"/>
      <c r="U28" s="521"/>
    </row>
    <row r="29" spans="2:21" x14ac:dyDescent="0.2">
      <c r="B29" s="515" t="s">
        <v>3</v>
      </c>
      <c r="C29" s="515"/>
      <c r="D29" s="515"/>
      <c r="E29" s="515"/>
      <c r="F29" s="515"/>
      <c r="G29" s="515"/>
      <c r="H29" s="515"/>
      <c r="I29" s="515"/>
      <c r="J29" s="515"/>
      <c r="K29" s="84"/>
      <c r="L29" s="515" t="s">
        <v>72</v>
      </c>
      <c r="M29" s="515"/>
      <c r="N29" s="515"/>
      <c r="O29" s="515"/>
      <c r="P29" s="515"/>
      <c r="Q29" s="509" t="s">
        <v>4</v>
      </c>
      <c r="R29" s="509"/>
      <c r="S29" s="509"/>
      <c r="T29" s="509"/>
      <c r="U29" s="520" t="s">
        <v>40</v>
      </c>
    </row>
    <row r="30" spans="2:21" ht="43.5" customHeight="1" x14ac:dyDescent="0.2">
      <c r="B30" s="85" t="s">
        <v>51</v>
      </c>
      <c r="C30" s="85" t="s">
        <v>12</v>
      </c>
      <c r="D30" s="85" t="s">
        <v>52</v>
      </c>
      <c r="E30" s="85" t="s">
        <v>24</v>
      </c>
      <c r="F30" s="85" t="s">
        <v>25</v>
      </c>
      <c r="G30" s="85" t="s">
        <v>26</v>
      </c>
      <c r="H30" s="85" t="s">
        <v>27</v>
      </c>
      <c r="I30" s="85" t="s">
        <v>28</v>
      </c>
      <c r="J30" s="85" t="s">
        <v>29</v>
      </c>
      <c r="K30" s="85" t="s">
        <v>47</v>
      </c>
      <c r="L30" s="86" t="s">
        <v>14</v>
      </c>
      <c r="M30" s="86" t="s">
        <v>31</v>
      </c>
      <c r="N30" s="86" t="s">
        <v>15</v>
      </c>
      <c r="O30" s="86" t="s">
        <v>16</v>
      </c>
      <c r="P30" s="85" t="s">
        <v>48</v>
      </c>
      <c r="Q30" s="86" t="s">
        <v>17</v>
      </c>
      <c r="R30" s="86" t="s">
        <v>18</v>
      </c>
      <c r="S30" s="86" t="s">
        <v>19</v>
      </c>
      <c r="T30" s="199" t="s">
        <v>361</v>
      </c>
      <c r="U30" s="520"/>
    </row>
    <row r="31" spans="2:21" ht="57.75" customHeight="1" x14ac:dyDescent="0.2">
      <c r="B31" s="517" t="s">
        <v>156</v>
      </c>
      <c r="C31" s="59" t="s">
        <v>157</v>
      </c>
      <c r="D31" s="59" t="s">
        <v>158</v>
      </c>
      <c r="E31" s="57">
        <v>5</v>
      </c>
      <c r="F31" s="57">
        <v>5</v>
      </c>
      <c r="G31" s="57">
        <v>5</v>
      </c>
      <c r="H31" s="57">
        <v>5</v>
      </c>
      <c r="I31" s="58">
        <f>SUM(E31:H31)</f>
        <v>20</v>
      </c>
      <c r="J31" s="59" t="s">
        <v>112</v>
      </c>
      <c r="K31" s="59" t="s">
        <v>118</v>
      </c>
      <c r="L31" s="563">
        <v>10</v>
      </c>
      <c r="M31" s="500" t="s">
        <v>159</v>
      </c>
      <c r="N31" s="59" t="s">
        <v>158</v>
      </c>
      <c r="O31" s="57">
        <v>5</v>
      </c>
      <c r="P31" s="59" t="s">
        <v>160</v>
      </c>
      <c r="Q31" s="585">
        <v>503000000</v>
      </c>
      <c r="R31" s="587">
        <f>503000000-42000000+6000000-66200000</f>
        <v>400800000</v>
      </c>
      <c r="S31" s="587">
        <v>0</v>
      </c>
      <c r="T31" s="587">
        <v>0</v>
      </c>
      <c r="U31" s="583">
        <v>0</v>
      </c>
    </row>
    <row r="32" spans="2:21" ht="66.75" customHeight="1" x14ac:dyDescent="0.2">
      <c r="B32" s="517"/>
      <c r="C32" s="59" t="s">
        <v>161</v>
      </c>
      <c r="D32" s="59" t="s">
        <v>162</v>
      </c>
      <c r="E32" s="57">
        <v>5</v>
      </c>
      <c r="F32" s="57">
        <v>5</v>
      </c>
      <c r="G32" s="57">
        <v>5</v>
      </c>
      <c r="H32" s="57">
        <v>5</v>
      </c>
      <c r="I32" s="58">
        <f>SUM(E32:H32)</f>
        <v>20</v>
      </c>
      <c r="J32" s="59" t="s">
        <v>112</v>
      </c>
      <c r="K32" s="59" t="s">
        <v>118</v>
      </c>
      <c r="L32" s="568"/>
      <c r="M32" s="500"/>
      <c r="N32" s="59" t="s">
        <v>163</v>
      </c>
      <c r="O32" s="57">
        <v>5</v>
      </c>
      <c r="P32" s="59" t="s">
        <v>164</v>
      </c>
      <c r="Q32" s="586"/>
      <c r="R32" s="588"/>
      <c r="S32" s="588"/>
      <c r="T32" s="588"/>
      <c r="U32" s="584"/>
    </row>
    <row r="33" spans="2:21" ht="128.25" customHeight="1" x14ac:dyDescent="0.2">
      <c r="B33" s="54" t="s">
        <v>165</v>
      </c>
      <c r="C33" s="59" t="s">
        <v>166</v>
      </c>
      <c r="D33" s="59" t="s">
        <v>167</v>
      </c>
      <c r="E33" s="57">
        <v>1</v>
      </c>
      <c r="F33" s="57">
        <v>0</v>
      </c>
      <c r="G33" s="57">
        <v>0</v>
      </c>
      <c r="H33" s="57">
        <v>0</v>
      </c>
      <c r="I33" s="58">
        <f>SUM(E33:H33)</f>
        <v>1</v>
      </c>
      <c r="J33" s="59" t="s">
        <v>112</v>
      </c>
      <c r="K33" s="59" t="s">
        <v>168</v>
      </c>
      <c r="L33" s="58">
        <v>11</v>
      </c>
      <c r="M33" s="149" t="s">
        <v>375</v>
      </c>
      <c r="N33" s="59" t="s">
        <v>115</v>
      </c>
      <c r="O33" s="82">
        <v>1</v>
      </c>
      <c r="P33" s="59" t="s">
        <v>169</v>
      </c>
      <c r="Q33" s="73">
        <f>R33+S33+T33</f>
        <v>36000000</v>
      </c>
      <c r="R33" s="63">
        <v>36000000</v>
      </c>
      <c r="S33" s="83">
        <v>0</v>
      </c>
      <c r="T33" s="83">
        <v>0</v>
      </c>
      <c r="U33" s="63">
        <v>0</v>
      </c>
    </row>
    <row r="34" spans="2:21" ht="16.5" x14ac:dyDescent="0.25">
      <c r="B34" s="501" t="s">
        <v>53</v>
      </c>
      <c r="C34" s="501"/>
      <c r="D34" s="501"/>
      <c r="E34" s="501"/>
      <c r="F34" s="501"/>
      <c r="G34" s="501"/>
      <c r="H34" s="501"/>
      <c r="I34" s="501"/>
      <c r="J34" s="501"/>
      <c r="K34" s="501"/>
      <c r="L34" s="501"/>
      <c r="M34" s="501"/>
      <c r="N34" s="501"/>
      <c r="O34" s="501"/>
      <c r="P34" s="501"/>
      <c r="Q34" s="175">
        <f>SUM(R34:T34)</f>
        <v>2483443753</v>
      </c>
      <c r="R34" s="175">
        <f>SUBTOTAL(9,R10:R33)</f>
        <v>2183443753</v>
      </c>
      <c r="S34" s="175">
        <f>SUBTOTAL(9,S10:S33)</f>
        <v>0</v>
      </c>
      <c r="T34" s="175">
        <f>SUBTOTAL(9,T10:T33)</f>
        <v>300000000</v>
      </c>
      <c r="U34" s="175">
        <f>SUBTOTAL(9,U10:U33)</f>
        <v>452354732</v>
      </c>
    </row>
    <row r="37" spans="2:21" x14ac:dyDescent="0.2">
      <c r="B37" s="303" t="s">
        <v>394</v>
      </c>
    </row>
    <row r="41" spans="2:21" x14ac:dyDescent="0.2">
      <c r="P41" s="191"/>
    </row>
  </sheetData>
  <mergeCells count="74">
    <mergeCell ref="B31:B32"/>
    <mergeCell ref="M31:M32"/>
    <mergeCell ref="B34:P34"/>
    <mergeCell ref="L2:U2"/>
    <mergeCell ref="L3:U3"/>
    <mergeCell ref="U22:U25"/>
    <mergeCell ref="B27:U27"/>
    <mergeCell ref="B28:U28"/>
    <mergeCell ref="B29:J29"/>
    <mergeCell ref="L29:P29"/>
    <mergeCell ref="U31:U32"/>
    <mergeCell ref="L31:L32"/>
    <mergeCell ref="Q31:Q32"/>
    <mergeCell ref="R31:R32"/>
    <mergeCell ref="S31:S32"/>
    <mergeCell ref="T31:T32"/>
    <mergeCell ref="B14:B21"/>
    <mergeCell ref="U14:U15"/>
    <mergeCell ref="K16:K17"/>
    <mergeCell ref="U19:U21"/>
    <mergeCell ref="B11:B13"/>
    <mergeCell ref="Q14:Q15"/>
    <mergeCell ref="T19:T21"/>
    <mergeCell ref="T14:T15"/>
    <mergeCell ref="S19:S21"/>
    <mergeCell ref="C16:C17"/>
    <mergeCell ref="D16:D17"/>
    <mergeCell ref="M19:M21"/>
    <mergeCell ref="E16:E17"/>
    <mergeCell ref="F16:F17"/>
    <mergeCell ref="M14:M15"/>
    <mergeCell ref="C14:C15"/>
    <mergeCell ref="Q29:T29"/>
    <mergeCell ref="U29:U30"/>
    <mergeCell ref="U11:U12"/>
    <mergeCell ref="B6:U6"/>
    <mergeCell ref="B7:U7"/>
    <mergeCell ref="B8:U8"/>
    <mergeCell ref="B9:J9"/>
    <mergeCell ref="L9:P9"/>
    <mergeCell ref="Q9:T9"/>
    <mergeCell ref="U9:U10"/>
    <mergeCell ref="T22:T25"/>
    <mergeCell ref="J16:J17"/>
    <mergeCell ref="B22:B26"/>
    <mergeCell ref="M22:M25"/>
    <mergeCell ref="Q19:Q21"/>
    <mergeCell ref="R19:R21"/>
    <mergeCell ref="Q22:Q25"/>
    <mergeCell ref="R22:R25"/>
    <mergeCell ref="L19:L21"/>
    <mergeCell ref="S22:S25"/>
    <mergeCell ref="N19:N21"/>
    <mergeCell ref="P19:P21"/>
    <mergeCell ref="G16:G17"/>
    <mergeCell ref="H16:H17"/>
    <mergeCell ref="I16:I17"/>
    <mergeCell ref="O19:O21"/>
    <mergeCell ref="L22:L25"/>
    <mergeCell ref="P14:P15"/>
    <mergeCell ref="T11:T12"/>
    <mergeCell ref="O14:O15"/>
    <mergeCell ref="M11:M12"/>
    <mergeCell ref="L11:L12"/>
    <mergeCell ref="N11:N12"/>
    <mergeCell ref="O11:O12"/>
    <mergeCell ref="R14:R15"/>
    <mergeCell ref="S14:S15"/>
    <mergeCell ref="P11:P12"/>
    <mergeCell ref="L14:L15"/>
    <mergeCell ref="Q11:Q12"/>
    <mergeCell ref="R11:R12"/>
    <mergeCell ref="S11:S12"/>
    <mergeCell ref="N14:N15"/>
  </mergeCells>
  <conditionalFormatting sqref="O18">
    <cfRule type="expression" dxfId="309" priority="7" stopIfTrue="1">
      <formula>+IF((#REF!+#REF!+#REF!+#REF!+#REF!)&lt;&gt;$L19,1,0)</formula>
    </cfRule>
  </conditionalFormatting>
  <conditionalFormatting sqref="E11:H12">
    <cfRule type="expression" dxfId="308" priority="76" stopIfTrue="1">
      <formula>+IF((#REF!+#REF!+#REF!+#REF!+#REF!)&lt;&gt;$L11,1,0)</formula>
    </cfRule>
  </conditionalFormatting>
  <conditionalFormatting sqref="E33">
    <cfRule type="expression" dxfId="307" priority="75" stopIfTrue="1">
      <formula>+IF((#REF!+#REF!+#REF!+#REF!+#REF!)&lt;&gt;$L33,1,0)</formula>
    </cfRule>
  </conditionalFormatting>
  <conditionalFormatting sqref="C11:C12">
    <cfRule type="expression" dxfId="306" priority="74" stopIfTrue="1">
      <formula>+IF((#REF!+#REF!+#REF!+#REF!+#REF!)&lt;&gt;$M11,1,0)</formula>
    </cfRule>
  </conditionalFormatting>
  <conditionalFormatting sqref="D11:D12">
    <cfRule type="expression" dxfId="305" priority="73" stopIfTrue="1">
      <formula>+IF((#REF!+#REF!+#REF!+#REF!+#REF!)&lt;&gt;$M11,1,0)</formula>
    </cfRule>
  </conditionalFormatting>
  <conditionalFormatting sqref="C11:C12">
    <cfRule type="expression" dxfId="304" priority="72" stopIfTrue="1">
      <formula>+IF((#REF!+#REF!+#REF!+#REF!+#REF!)&lt;&gt;$M11,1,0)</formula>
    </cfRule>
  </conditionalFormatting>
  <conditionalFormatting sqref="D11:D12">
    <cfRule type="expression" dxfId="303" priority="71" stopIfTrue="1">
      <formula>+IF((#REF!+#REF!+#REF!+#REF!+#REF!)&lt;&gt;$M11,1,0)</formula>
    </cfRule>
  </conditionalFormatting>
  <conditionalFormatting sqref="E11:H12">
    <cfRule type="expression" dxfId="302" priority="70" stopIfTrue="1">
      <formula>+IF((#REF!+#REF!+#REF!+#REF!+#REF!)&lt;&gt;$L11,1,0)</formula>
    </cfRule>
  </conditionalFormatting>
  <conditionalFormatting sqref="F14:H15">
    <cfRule type="expression" dxfId="301" priority="69" stopIfTrue="1">
      <formula>+IF((#REF!+#REF!+#REF!+#REF!+#REF!)&lt;&gt;$M14,1,0)</formula>
    </cfRule>
  </conditionalFormatting>
  <conditionalFormatting sqref="D14:E15">
    <cfRule type="expression" dxfId="300" priority="68" stopIfTrue="1">
      <formula>+IF((#REF!+#REF!+#REF!+#REF!+#REF!)&lt;&gt;$N14,1,0)</formula>
    </cfRule>
  </conditionalFormatting>
  <conditionalFormatting sqref="E14:H15">
    <cfRule type="expression" dxfId="299" priority="67" stopIfTrue="1">
      <formula>+IF((#REF!+#REF!+#REF!+#REF!+#REF!)&lt;&gt;$M14,1,0)</formula>
    </cfRule>
  </conditionalFormatting>
  <conditionalFormatting sqref="N13:N14">
    <cfRule type="expression" dxfId="298" priority="66" stopIfTrue="1">
      <formula>+IF((#REF!+#REF!+#REF!+#REF!+#REF!)&lt;&gt;$M13,1,0)</formula>
    </cfRule>
  </conditionalFormatting>
  <conditionalFormatting sqref="E33">
    <cfRule type="expression" dxfId="297" priority="63" stopIfTrue="1">
      <formula>+IF((#REF!+#REF!+#REF!+#REF!+#REF!)&lt;&gt;$L33,1,0)</formula>
    </cfRule>
  </conditionalFormatting>
  <conditionalFormatting sqref="F19:H19 F21:H21">
    <cfRule type="expression" dxfId="296" priority="60" stopIfTrue="1">
      <formula>+IF((#REF!+#REF!+#REF!+#REF!+#REF!)&lt;&gt;$M19,1,0)</formula>
    </cfRule>
  </conditionalFormatting>
  <conditionalFormatting sqref="D19:E19 D21:E21">
    <cfRule type="expression" dxfId="295" priority="59" stopIfTrue="1">
      <formula>+IF((#REF!+#REF!+#REF!+#REF!+#REF!)&lt;&gt;$N19,1,0)</formula>
    </cfRule>
  </conditionalFormatting>
  <conditionalFormatting sqref="E19:H19 E21:H21">
    <cfRule type="expression" dxfId="294" priority="58" stopIfTrue="1">
      <formula>+IF((#REF!+#REF!+#REF!+#REF!+#REF!)&lt;&gt;$M19,1,0)</formula>
    </cfRule>
  </conditionalFormatting>
  <conditionalFormatting sqref="E25:H25">
    <cfRule type="expression" dxfId="293" priority="57" stopIfTrue="1">
      <formula>+IF((#REF!+#REF!+#REF!+#REF!+#REF!)&lt;&gt;$L25,1,0)</formula>
    </cfRule>
  </conditionalFormatting>
  <conditionalFormatting sqref="C25:D25">
    <cfRule type="expression" dxfId="292" priority="56" stopIfTrue="1">
      <formula>+IF((#REF!+#REF!+#REF!+#REF!+#REF!)&lt;&gt;$M25,1,0)</formula>
    </cfRule>
  </conditionalFormatting>
  <conditionalFormatting sqref="E25:H25">
    <cfRule type="expression" dxfId="291" priority="55" stopIfTrue="1">
      <formula>+IF((#REF!+#REF!+#REF!+#REF!+#REF!)&lt;&gt;$L25,1,0)</formula>
    </cfRule>
  </conditionalFormatting>
  <conditionalFormatting sqref="F22:H22">
    <cfRule type="expression" dxfId="290" priority="54" stopIfTrue="1">
      <formula>+IF((#REF!+#REF!+#REF!+#REF!+#REF!)&lt;&gt;$M22,1,0)</formula>
    </cfRule>
  </conditionalFormatting>
  <conditionalFormatting sqref="E22">
    <cfRule type="expression" dxfId="289" priority="53" stopIfTrue="1">
      <formula>+IF((#REF!+#REF!+#REF!+#REF!+#REF!)&lt;&gt;$N22,1,0)</formula>
    </cfRule>
  </conditionalFormatting>
  <conditionalFormatting sqref="E22:H22">
    <cfRule type="expression" dxfId="288" priority="52" stopIfTrue="1">
      <formula>+IF((#REF!+#REF!+#REF!+#REF!+#REF!)&lt;&gt;$M22,1,0)</formula>
    </cfRule>
  </conditionalFormatting>
  <conditionalFormatting sqref="C22">
    <cfRule type="expression" dxfId="287" priority="51" stopIfTrue="1">
      <formula>+IF((#REF!+#REF!+#REF!+#REF!+#REF!)&lt;&gt;$M22,1,0)</formula>
    </cfRule>
  </conditionalFormatting>
  <conditionalFormatting sqref="D22">
    <cfRule type="expression" dxfId="286" priority="50" stopIfTrue="1">
      <formula>+IF((#REF!+#REF!+#REF!+#REF!+#REF!)&lt;&gt;$M22,1,0)</formula>
    </cfRule>
  </conditionalFormatting>
  <conditionalFormatting sqref="F33:H33">
    <cfRule type="expression" dxfId="285" priority="49" stopIfTrue="1">
      <formula>+IF((#REF!+#REF!+#REF!+#REF!+#REF!)&lt;&gt;$L33,1,0)</formula>
    </cfRule>
  </conditionalFormatting>
  <conditionalFormatting sqref="F33:H33">
    <cfRule type="expression" dxfId="284" priority="46" stopIfTrue="1">
      <formula>+IF((#REF!+#REF!+#REF!+#REF!+#REF!)&lt;&gt;$L33,1,0)</formula>
    </cfRule>
  </conditionalFormatting>
  <conditionalFormatting sqref="N16:N17">
    <cfRule type="expression" dxfId="283" priority="42" stopIfTrue="1">
      <formula>+IF((#REF!+#REF!+#REF!+#REF!+#REF!)&lt;&gt;$N16,1,0)</formula>
    </cfRule>
  </conditionalFormatting>
  <conditionalFormatting sqref="E16:H16">
    <cfRule type="expression" dxfId="282" priority="43" stopIfTrue="1">
      <formula>+IF((#REF!+#REF!+#REF!+#REF!+#REF!)&lt;&gt;$M16,1,0)</formula>
    </cfRule>
  </conditionalFormatting>
  <conditionalFormatting sqref="F16:H16">
    <cfRule type="expression" dxfId="281" priority="45" stopIfTrue="1">
      <formula>+IF((#REF!+#REF!+#REF!+#REF!+#REF!)&lt;&gt;$M16,1,0)</formula>
    </cfRule>
  </conditionalFormatting>
  <conditionalFormatting sqref="D16:E16">
    <cfRule type="expression" dxfId="280" priority="44" stopIfTrue="1">
      <formula>+IF((#REF!+#REF!+#REF!+#REF!+#REF!)&lt;&gt;$N16,1,0)</formula>
    </cfRule>
  </conditionalFormatting>
  <conditionalFormatting sqref="E23:H23">
    <cfRule type="expression" dxfId="279" priority="41" stopIfTrue="1">
      <formula>+IF((#REF!+#REF!+#REF!+#REF!+#REF!)&lt;&gt;$L23,1,0)</formula>
    </cfRule>
  </conditionalFormatting>
  <conditionalFormatting sqref="C23">
    <cfRule type="expression" dxfId="278" priority="40" stopIfTrue="1">
      <formula>+IF((#REF!+#REF!+#REF!+#REF!+#REF!)&lt;&gt;$M23,1,0)</formula>
    </cfRule>
  </conditionalFormatting>
  <conditionalFormatting sqref="D23">
    <cfRule type="expression" dxfId="277" priority="39" stopIfTrue="1">
      <formula>+IF((#REF!+#REF!+#REF!+#REF!+#REF!)&lt;&gt;$M23,1,0)</formula>
    </cfRule>
  </conditionalFormatting>
  <conditionalFormatting sqref="E23:H23">
    <cfRule type="expression" dxfId="276" priority="38" stopIfTrue="1">
      <formula>+IF((#REF!+#REF!+#REF!+#REF!+#REF!)&lt;&gt;$L23,1,0)</formula>
    </cfRule>
  </conditionalFormatting>
  <conditionalFormatting sqref="E23:H23">
    <cfRule type="expression" dxfId="275" priority="37" stopIfTrue="1">
      <formula>+IF((#REF!+#REF!+#REF!+#REF!+#REF!)&lt;&gt;$L23,1,0)</formula>
    </cfRule>
  </conditionalFormatting>
  <conditionalFormatting sqref="C23">
    <cfRule type="expression" dxfId="274" priority="36" stopIfTrue="1">
      <formula>+IF((#REF!+#REF!+#REF!+#REF!+#REF!)&lt;&gt;$M23,1,0)</formula>
    </cfRule>
  </conditionalFormatting>
  <conditionalFormatting sqref="D23">
    <cfRule type="expression" dxfId="273" priority="35" stopIfTrue="1">
      <formula>+IF((#REF!+#REF!+#REF!+#REF!+#REF!)&lt;&gt;$M23,1,0)</formula>
    </cfRule>
  </conditionalFormatting>
  <conditionalFormatting sqref="F26:H26">
    <cfRule type="expression" dxfId="272" priority="34" stopIfTrue="1">
      <formula>+IF((#REF!+#REF!+#REF!+#REF!+#REF!)&lt;&gt;$M26,1,0)</formula>
    </cfRule>
  </conditionalFormatting>
  <conditionalFormatting sqref="E26">
    <cfRule type="expression" dxfId="271" priority="33" stopIfTrue="1">
      <formula>+IF((#REF!+#REF!+#REF!+#REF!+#REF!)&lt;&gt;$N26,1,0)</formula>
    </cfRule>
  </conditionalFormatting>
  <conditionalFormatting sqref="E26:H26">
    <cfRule type="expression" dxfId="270" priority="32" stopIfTrue="1">
      <formula>+IF((#REF!+#REF!+#REF!+#REF!+#REF!)&lt;&gt;$M26,1,0)</formula>
    </cfRule>
  </conditionalFormatting>
  <conditionalFormatting sqref="C26">
    <cfRule type="expression" dxfId="269" priority="31" stopIfTrue="1">
      <formula>+IF((#REF!+#REF!+#REF!+#REF!+#REF!)&lt;&gt;$M26,1,0)</formula>
    </cfRule>
  </conditionalFormatting>
  <conditionalFormatting sqref="D26">
    <cfRule type="expression" dxfId="268" priority="30" stopIfTrue="1">
      <formula>+IF((#REF!+#REF!+#REF!+#REF!+#REF!)&lt;&gt;$M26,1,0)</formula>
    </cfRule>
  </conditionalFormatting>
  <conditionalFormatting sqref="E24:H24">
    <cfRule type="expression" dxfId="267" priority="29" stopIfTrue="1">
      <formula>+IF((#REF!+#REF!+#REF!+#REF!+#REF!)&lt;&gt;$L24,1,0)</formula>
    </cfRule>
  </conditionalFormatting>
  <conditionalFormatting sqref="C24:D24">
    <cfRule type="expression" dxfId="266" priority="28" stopIfTrue="1">
      <formula>+IF((#REF!+#REF!+#REF!+#REF!+#REF!)&lt;&gt;$M24,1,0)</formula>
    </cfRule>
  </conditionalFormatting>
  <conditionalFormatting sqref="E24:H24">
    <cfRule type="expression" dxfId="265" priority="27" stopIfTrue="1">
      <formula>+IF((#REF!+#REF!+#REF!+#REF!+#REF!)&lt;&gt;$L24,1,0)</formula>
    </cfRule>
  </conditionalFormatting>
  <conditionalFormatting sqref="G24">
    <cfRule type="expression" dxfId="264" priority="26" stopIfTrue="1">
      <formula>+IF((#REF!+#REF!+#REF!+#REF!+#REF!)&lt;&gt;$L24,1,0)</formula>
    </cfRule>
  </conditionalFormatting>
  <conditionalFormatting sqref="G24">
    <cfRule type="expression" dxfId="263" priority="25" stopIfTrue="1">
      <formula>+IF((#REF!+#REF!+#REF!+#REF!+#REF!)&lt;&gt;$L24,1,0)</formula>
    </cfRule>
  </conditionalFormatting>
  <conditionalFormatting sqref="H24">
    <cfRule type="expression" dxfId="262" priority="24" stopIfTrue="1">
      <formula>+IF((#REF!+#REF!+#REF!+#REF!+#REF!)&lt;&gt;$L24,1,0)</formula>
    </cfRule>
  </conditionalFormatting>
  <conditionalFormatting sqref="H24">
    <cfRule type="expression" dxfId="261" priority="23" stopIfTrue="1">
      <formula>+IF((#REF!+#REF!+#REF!+#REF!+#REF!)&lt;&gt;$L24,1,0)</formula>
    </cfRule>
  </conditionalFormatting>
  <conditionalFormatting sqref="M24">
    <cfRule type="expression" dxfId="260" priority="22" stopIfTrue="1">
      <formula>+IF((#REF!+#REF!+#REF!+#REF!+#REF!)&lt;&gt;$M24,1,0)</formula>
    </cfRule>
  </conditionalFormatting>
  <conditionalFormatting sqref="N22:N24">
    <cfRule type="expression" dxfId="259" priority="21" stopIfTrue="1">
      <formula>+IF((#REF!+#REF!+#REF!+#REF!+#REF!)&lt;&gt;$M22,1,0)</formula>
    </cfRule>
  </conditionalFormatting>
  <conditionalFormatting sqref="O22:O24">
    <cfRule type="expression" dxfId="258" priority="20" stopIfTrue="1">
      <formula>+IF((#REF!+#REF!+#REF!+#REF!+#REF!)&lt;&gt;$L22,1,0)</formula>
    </cfRule>
  </conditionalFormatting>
  <conditionalFormatting sqref="O22:O24">
    <cfRule type="expression" dxfId="257" priority="19" stopIfTrue="1">
      <formula>+IF((#REF!+#REF!+#REF!+#REF!+#REF!)&lt;&gt;$L22,1,0)</formula>
    </cfRule>
  </conditionalFormatting>
  <conditionalFormatting sqref="F18:H18">
    <cfRule type="expression" dxfId="256" priority="18" stopIfTrue="1">
      <formula>+IF((#REF!+#REF!+#REF!+#REF!+#REF!)&lt;&gt;$M18,1,0)</formula>
    </cfRule>
  </conditionalFormatting>
  <conditionalFormatting sqref="D18:E18">
    <cfRule type="expression" dxfId="255" priority="17" stopIfTrue="1">
      <formula>+IF((#REF!+#REF!+#REF!+#REF!+#REF!)&lt;&gt;$N18,1,0)</formula>
    </cfRule>
  </conditionalFormatting>
  <conditionalFormatting sqref="E18:H18">
    <cfRule type="expression" dxfId="254" priority="16" stopIfTrue="1">
      <formula>+IF((#REF!+#REF!+#REF!+#REF!+#REF!)&lt;&gt;$M18,1,0)</formula>
    </cfRule>
  </conditionalFormatting>
  <conditionalFormatting sqref="N25">
    <cfRule type="expression" dxfId="253" priority="15" stopIfTrue="1">
      <formula>+IF((#REF!+#REF!+#REF!+#REF!+#REF!)&lt;&gt;$M25,1,0)</formula>
    </cfRule>
  </conditionalFormatting>
  <conditionalFormatting sqref="F20:H20">
    <cfRule type="expression" dxfId="252" priority="12" stopIfTrue="1">
      <formula>+IF((#REF!+#REF!+#REF!+#REF!+#REF!)&lt;&gt;$M20,1,0)</formula>
    </cfRule>
  </conditionalFormatting>
  <conditionalFormatting sqref="D20:E20">
    <cfRule type="expression" dxfId="251" priority="11" stopIfTrue="1">
      <formula>+IF((#REF!+#REF!+#REF!+#REF!+#REF!)&lt;&gt;$N20,1,0)</formula>
    </cfRule>
  </conditionalFormatting>
  <conditionalFormatting sqref="E20:H20">
    <cfRule type="expression" dxfId="250" priority="10" stopIfTrue="1">
      <formula>+IF((#REF!+#REF!+#REF!+#REF!+#REF!)&lt;&gt;$M20,1,0)</formula>
    </cfRule>
  </conditionalFormatting>
  <conditionalFormatting sqref="N18">
    <cfRule type="expression" dxfId="249" priority="9" stopIfTrue="1">
      <formula>+IF((#REF!+#REF!+#REF!+#REF!+#REF!)&lt;&gt;$M19,1,0)</formula>
    </cfRule>
  </conditionalFormatting>
  <conditionalFormatting sqref="O18">
    <cfRule type="expression" dxfId="248" priority="8" stopIfTrue="1">
      <formula>+IF((#REF!+#REF!+#REF!+#REF!+#REF!)&lt;&gt;$L19,1,0)</formula>
    </cfRule>
  </conditionalFormatting>
  <conditionalFormatting sqref="N11">
    <cfRule type="expression" dxfId="247" priority="149" stopIfTrue="1">
      <formula>+IF((#REF!+#REF!+#REF!+#REF!+#REF!)&lt;&gt;#REF!,1,0)</formula>
    </cfRule>
  </conditionalFormatting>
  <conditionalFormatting sqref="E32">
    <cfRule type="expression" dxfId="246" priority="151" stopIfTrue="1">
      <formula>+IF((#REF!+#REF!+#REF!+#REF!+#REF!)&lt;&gt;$L31,1,0)</formula>
    </cfRule>
  </conditionalFormatting>
  <conditionalFormatting sqref="E31">
    <cfRule type="expression" dxfId="245" priority="152" stopIfTrue="1">
      <formula>+IF((#REF!+#REF!+#REF!+#REF!+#REF!)&lt;&gt;#REF!,1,0)</formula>
    </cfRule>
  </conditionalFormatting>
  <conditionalFormatting sqref="E31">
    <cfRule type="expression" dxfId="244" priority="153" stopIfTrue="1">
      <formula>+IF((#REF!+#REF!+#REF!+#REF!+#REF!)&lt;&gt;#REF!,1,0)</formula>
    </cfRule>
  </conditionalFormatting>
  <conditionalFormatting sqref="E32">
    <cfRule type="expression" dxfId="243" priority="154" stopIfTrue="1">
      <formula>+IF((#REF!+#REF!+#REF!+#REF!+#REF!)&lt;&gt;$L31,1,0)</formula>
    </cfRule>
  </conditionalFormatting>
  <conditionalFormatting sqref="F32:H32">
    <cfRule type="expression" dxfId="242" priority="156" stopIfTrue="1">
      <formula>+IF((#REF!+#REF!+#REF!+#REF!+#REF!)&lt;&gt;$L31,1,0)</formula>
    </cfRule>
  </conditionalFormatting>
  <conditionalFormatting sqref="F31:H31">
    <cfRule type="expression" dxfId="241" priority="157" stopIfTrue="1">
      <formula>+IF((#REF!+#REF!+#REF!+#REF!+#REF!)&lt;&gt;#REF!,1,0)</formula>
    </cfRule>
  </conditionalFormatting>
  <conditionalFormatting sqref="F31:H31">
    <cfRule type="expression" dxfId="240" priority="158" stopIfTrue="1">
      <formula>+IF((#REF!+#REF!+#REF!+#REF!+#REF!)&lt;&gt;#REF!,1,0)</formula>
    </cfRule>
  </conditionalFormatting>
  <conditionalFormatting sqref="F32:H32">
    <cfRule type="expression" dxfId="239" priority="159" stopIfTrue="1">
      <formula>+IF((#REF!+#REF!+#REF!+#REF!+#REF!)&lt;&gt;$L31,1,0)</formula>
    </cfRule>
  </conditionalFormatting>
  <conditionalFormatting sqref="O31">
    <cfRule type="expression" dxfId="238" priority="160" stopIfTrue="1">
      <formula>+IF((#REF!+#REF!+#REF!+#REF!+#REF!)&lt;&gt;#REF!,1,0)</formula>
    </cfRule>
  </conditionalFormatting>
  <conditionalFormatting sqref="O32">
    <cfRule type="expression" dxfId="237" priority="161" stopIfTrue="1">
      <formula>+IF((#REF!+#REF!+#REF!+#REF!+#REF!)&lt;&gt;$L31,1,0)</formula>
    </cfRule>
  </conditionalFormatting>
  <conditionalFormatting sqref="C13">
    <cfRule type="expression" dxfId="236" priority="6" stopIfTrue="1">
      <formula>+IF((#REF!+#REF!+#REF!+#REF!+#REF!)&lt;&gt;$M13,1,0)</formula>
    </cfRule>
  </conditionalFormatting>
  <conditionalFormatting sqref="C13">
    <cfRule type="expression" dxfId="235" priority="5" stopIfTrue="1">
      <formula>+IF((#REF!+#REF!+#REF!+#REF!+#REF!)&lt;&gt;$M13,1,0)</formula>
    </cfRule>
  </conditionalFormatting>
  <conditionalFormatting sqref="D13">
    <cfRule type="expression" dxfId="234" priority="4" stopIfTrue="1">
      <formula>+IF((#REF!+#REF!+#REF!+#REF!+#REF!)&lt;&gt;$M13,1,0)</formula>
    </cfRule>
  </conditionalFormatting>
  <conditionalFormatting sqref="D13">
    <cfRule type="expression" dxfId="233" priority="3" stopIfTrue="1">
      <formula>+IF((#REF!+#REF!+#REF!+#REF!+#REF!)&lt;&gt;$M13,1,0)</formula>
    </cfRule>
  </conditionalFormatting>
  <conditionalFormatting sqref="E13:H13">
    <cfRule type="expression" dxfId="232" priority="2" stopIfTrue="1">
      <formula>+IF((#REF!+#REF!+#REF!+#REF!+#REF!)&lt;&gt;$L13,1,0)</formula>
    </cfRule>
  </conditionalFormatting>
  <conditionalFormatting sqref="E13:H13">
    <cfRule type="expression" dxfId="231" priority="1" stopIfTrue="1">
      <formula>+IF((#REF!+#REF!+#REF!+#REF!+#REF!)&lt;&gt;$L13,1,0)</formula>
    </cfRule>
  </conditionalFormatting>
  <dataValidations count="6">
    <dataValidation type="list" allowBlank="1" showInputMessage="1" showErrorMessage="1" sqref="J23">
      <formula1>$U$41:$U$49</formula1>
    </dataValidation>
    <dataValidation type="list" allowBlank="1" showInputMessage="1" showErrorMessage="1" sqref="K23 K20">
      <formula1>$I$35:$I$39</formula1>
    </dataValidation>
    <dataValidation type="list" allowBlank="1" showInputMessage="1" showErrorMessage="1" sqref="P22:P26 P16:P18 P11 P13:P14">
      <formula1>$Q$47:$Q$72</formula1>
    </dataValidation>
    <dataValidation type="list" allowBlank="1" showInputMessage="1" showErrorMessage="1" sqref="K31:K33 K21:K22 K18:K19 K24:K26 K11:K16">
      <formula1>$I$41:$I$45</formula1>
    </dataValidation>
    <dataValidation type="list" allowBlank="1" showInputMessage="1" showErrorMessage="1" sqref="J31:J33 J18:J22 J24:J26 J11:J16">
      <formula1>$U$47:$U$55</formula1>
    </dataValidation>
    <dataValidation type="list" allowBlank="1" showInputMessage="1" showErrorMessage="1" sqref="P31:P33">
      <formula1>$Q$52:$Q$77</formula1>
    </dataValidation>
  </dataValidations>
  <pageMargins left="0.7" right="0.7" top="0.75" bottom="0.75" header="0.3" footer="0.3"/>
  <pageSetup orientation="portrait" verticalDpi="0" r:id="rId1"/>
  <ignoredErrors>
    <ignoredError sqref="Q13:Q14 Q16:Q19 Q26 Q33 Q22:R22 U14 Q11 U17 R31 R16"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Z39"/>
  <sheetViews>
    <sheetView topLeftCell="W10" zoomScale="90" zoomScaleNormal="90" workbookViewId="0">
      <selection activeCell="Y14" sqref="Y14"/>
    </sheetView>
  </sheetViews>
  <sheetFormatPr baseColWidth="10" defaultColWidth="11.42578125" defaultRowHeight="14.25" x14ac:dyDescent="0.2"/>
  <cols>
    <col min="1" max="1" width="5.140625" style="90" customWidth="1"/>
    <col min="2" max="2" width="17.42578125" style="90" customWidth="1"/>
    <col min="3" max="3" width="25.5703125" style="90" customWidth="1"/>
    <col min="4" max="4" width="16.7109375" style="90" customWidth="1"/>
    <col min="5" max="6" width="7.140625" style="90" bestFit="1" customWidth="1"/>
    <col min="7" max="8" width="6.28515625" style="90" bestFit="1" customWidth="1"/>
    <col min="9" max="9" width="9.85546875" style="90" customWidth="1"/>
    <col min="10" max="10" width="11.42578125" style="90"/>
    <col min="11" max="11" width="25.5703125" style="90" customWidth="1"/>
    <col min="12" max="12" width="5.85546875" style="90" customWidth="1"/>
    <col min="13" max="13" width="20.85546875" style="90" customWidth="1"/>
    <col min="14" max="14" width="12.42578125" style="90" bestFit="1" customWidth="1"/>
    <col min="15" max="15" width="9.140625" style="90" customWidth="1"/>
    <col min="16" max="16" width="28.85546875" style="90" customWidth="1"/>
    <col min="17" max="17" width="19.28515625" style="90" customWidth="1"/>
    <col min="18" max="18" width="16.28515625" style="90" customWidth="1"/>
    <col min="19" max="19" width="13.42578125" style="90" customWidth="1"/>
    <col min="20" max="20" width="18.85546875" style="90" customWidth="1"/>
    <col min="21" max="21" width="20.42578125" style="90" customWidth="1"/>
    <col min="22" max="22" width="70.85546875" style="90" customWidth="1"/>
    <col min="23" max="23" width="60.7109375" style="90" customWidth="1"/>
    <col min="24" max="24" width="60.85546875" style="90" customWidth="1"/>
    <col min="25" max="25" width="70.7109375" style="90" customWidth="1"/>
    <col min="26" max="26" width="32.85546875" style="90" customWidth="1"/>
    <col min="27" max="16384" width="11.42578125" style="90"/>
  </cols>
  <sheetData>
    <row r="1" spans="2:26" ht="15.75" x14ac:dyDescent="0.2">
      <c r="B1" s="560" t="s">
        <v>412</v>
      </c>
      <c r="C1" s="560"/>
      <c r="D1" s="560"/>
      <c r="E1" s="560"/>
      <c r="F1" s="560"/>
      <c r="G1" s="560"/>
      <c r="H1" s="560"/>
      <c r="I1" s="560"/>
      <c r="J1" s="560"/>
      <c r="K1" s="560"/>
      <c r="L1" s="560"/>
      <c r="M1" s="560"/>
      <c r="N1" s="560"/>
      <c r="O1" s="560"/>
      <c r="P1" s="560"/>
      <c r="Q1" s="560"/>
      <c r="R1" s="560"/>
      <c r="S1" s="560"/>
      <c r="T1" s="560"/>
      <c r="U1" s="560"/>
    </row>
    <row r="2" spans="2:26" ht="15.75" x14ac:dyDescent="0.2">
      <c r="B2" s="560" t="s">
        <v>389</v>
      </c>
      <c r="C2" s="560"/>
      <c r="D2" s="560"/>
      <c r="E2" s="560"/>
      <c r="F2" s="560"/>
      <c r="G2" s="560"/>
      <c r="H2" s="560"/>
      <c r="I2" s="560"/>
      <c r="J2" s="560"/>
      <c r="K2" s="560"/>
      <c r="L2" s="560"/>
      <c r="M2" s="560"/>
      <c r="N2" s="560"/>
      <c r="O2" s="560"/>
      <c r="P2" s="560"/>
      <c r="Q2" s="560"/>
      <c r="R2" s="560"/>
      <c r="S2" s="560"/>
      <c r="T2" s="560"/>
      <c r="U2" s="560"/>
    </row>
    <row r="3" spans="2:26" ht="15.75" x14ac:dyDescent="0.2">
      <c r="L3" s="581" t="s">
        <v>0</v>
      </c>
      <c r="M3" s="581"/>
      <c r="N3" s="581"/>
      <c r="O3" s="581"/>
      <c r="P3" s="581"/>
      <c r="Q3" s="581"/>
      <c r="R3" s="581"/>
      <c r="S3" s="581"/>
      <c r="T3" s="581"/>
      <c r="U3" s="581"/>
    </row>
    <row r="4" spans="2:26" ht="18" x14ac:dyDescent="0.2">
      <c r="L4" s="582" t="s">
        <v>170</v>
      </c>
      <c r="M4" s="582"/>
      <c r="N4" s="582"/>
      <c r="O4" s="582"/>
      <c r="P4" s="582"/>
      <c r="Q4" s="582"/>
      <c r="R4" s="582"/>
      <c r="S4" s="582"/>
      <c r="T4" s="582"/>
      <c r="U4" s="582"/>
    </row>
    <row r="5" spans="2:26" ht="18" x14ac:dyDescent="0.2">
      <c r="L5" s="263"/>
      <c r="M5" s="263"/>
      <c r="N5" s="263"/>
      <c r="O5" s="263"/>
      <c r="P5" s="263"/>
      <c r="Q5" s="263"/>
      <c r="R5" s="263"/>
      <c r="S5" s="263"/>
      <c r="T5" s="263"/>
      <c r="U5" s="263"/>
    </row>
    <row r="7" spans="2:26" ht="16.5" x14ac:dyDescent="0.2">
      <c r="B7" s="521" t="s">
        <v>23</v>
      </c>
      <c r="C7" s="521"/>
      <c r="D7" s="521"/>
      <c r="E7" s="521"/>
      <c r="F7" s="521"/>
      <c r="G7" s="521"/>
      <c r="H7" s="521"/>
      <c r="I7" s="521"/>
      <c r="J7" s="521"/>
      <c r="K7" s="521"/>
      <c r="L7" s="521"/>
      <c r="M7" s="521"/>
      <c r="N7" s="521"/>
      <c r="O7" s="521"/>
      <c r="P7" s="521"/>
      <c r="Q7" s="521"/>
      <c r="R7" s="521"/>
      <c r="S7" s="521"/>
      <c r="T7" s="521"/>
      <c r="U7" s="521"/>
    </row>
    <row r="8" spans="2:26" ht="16.5" x14ac:dyDescent="0.2">
      <c r="B8" s="521" t="s">
        <v>107</v>
      </c>
      <c r="C8" s="521"/>
      <c r="D8" s="521"/>
      <c r="E8" s="521"/>
      <c r="F8" s="521"/>
      <c r="G8" s="521"/>
      <c r="H8" s="521"/>
      <c r="I8" s="521"/>
      <c r="J8" s="521"/>
      <c r="K8" s="521"/>
      <c r="L8" s="521"/>
      <c r="M8" s="521"/>
      <c r="N8" s="521"/>
      <c r="O8" s="521"/>
      <c r="P8" s="521"/>
      <c r="Q8" s="521"/>
      <c r="R8" s="521"/>
      <c r="S8" s="521"/>
      <c r="T8" s="521"/>
      <c r="U8" s="521"/>
    </row>
    <row r="9" spans="2:26" ht="16.5" x14ac:dyDescent="0.2">
      <c r="B9" s="521" t="s">
        <v>108</v>
      </c>
      <c r="C9" s="521"/>
      <c r="D9" s="521"/>
      <c r="E9" s="521"/>
      <c r="F9" s="521"/>
      <c r="G9" s="521"/>
      <c r="H9" s="521"/>
      <c r="I9" s="521"/>
      <c r="J9" s="521"/>
      <c r="K9" s="521"/>
      <c r="L9" s="521"/>
      <c r="M9" s="521"/>
      <c r="N9" s="521"/>
      <c r="O9" s="521"/>
      <c r="P9" s="521"/>
      <c r="Q9" s="521"/>
      <c r="R9" s="521"/>
      <c r="S9" s="521"/>
      <c r="T9" s="521"/>
      <c r="U9" s="521"/>
      <c r="W9" s="545" t="s">
        <v>411</v>
      </c>
      <c r="X9" s="545"/>
      <c r="Y9" s="545"/>
    </row>
    <row r="10" spans="2:26" ht="24.75" customHeight="1" x14ac:dyDescent="0.2">
      <c r="B10" s="573" t="s">
        <v>3</v>
      </c>
      <c r="C10" s="573"/>
      <c r="D10" s="573"/>
      <c r="E10" s="573"/>
      <c r="F10" s="573"/>
      <c r="G10" s="573"/>
      <c r="H10" s="573"/>
      <c r="I10" s="573"/>
      <c r="J10" s="573"/>
      <c r="K10" s="252"/>
      <c r="L10" s="561" t="s">
        <v>72</v>
      </c>
      <c r="M10" s="561"/>
      <c r="N10" s="561"/>
      <c r="O10" s="561"/>
      <c r="P10" s="561"/>
      <c r="Q10" s="509" t="s">
        <v>4</v>
      </c>
      <c r="R10" s="509"/>
      <c r="S10" s="509"/>
      <c r="T10" s="509"/>
      <c r="U10" s="520" t="s">
        <v>40</v>
      </c>
      <c r="W10" s="590" t="s">
        <v>410</v>
      </c>
      <c r="X10" s="591"/>
      <c r="Y10" s="555" t="s">
        <v>445</v>
      </c>
    </row>
    <row r="11" spans="2:26" ht="24" customHeight="1" x14ac:dyDescent="0.2">
      <c r="B11" s="250" t="s">
        <v>51</v>
      </c>
      <c r="C11" s="250" t="s">
        <v>12</v>
      </c>
      <c r="D11" s="250" t="s">
        <v>52</v>
      </c>
      <c r="E11" s="250" t="s">
        <v>24</v>
      </c>
      <c r="F11" s="250" t="s">
        <v>25</v>
      </c>
      <c r="G11" s="250" t="s">
        <v>26</v>
      </c>
      <c r="H11" s="250" t="s">
        <v>27</v>
      </c>
      <c r="I11" s="250" t="s">
        <v>28</v>
      </c>
      <c r="J11" s="250" t="s">
        <v>29</v>
      </c>
      <c r="K11" s="250" t="s">
        <v>47</v>
      </c>
      <c r="L11" s="255" t="s">
        <v>14</v>
      </c>
      <c r="M11" s="266" t="s">
        <v>79</v>
      </c>
      <c r="N11" s="255" t="s">
        <v>15</v>
      </c>
      <c r="O11" s="266" t="s">
        <v>16</v>
      </c>
      <c r="P11" s="250" t="s">
        <v>48</v>
      </c>
      <c r="Q11" s="255" t="s">
        <v>17</v>
      </c>
      <c r="R11" s="255" t="s">
        <v>18</v>
      </c>
      <c r="S11" s="255" t="s">
        <v>19</v>
      </c>
      <c r="T11" s="255" t="s">
        <v>361</v>
      </c>
      <c r="U11" s="520"/>
      <c r="V11" s="372" t="s">
        <v>426</v>
      </c>
      <c r="W11" s="267" t="s">
        <v>408</v>
      </c>
      <c r="X11" s="267" t="s">
        <v>409</v>
      </c>
      <c r="Y11" s="556"/>
    </row>
    <row r="12" spans="2:26" ht="170.25" customHeight="1" x14ac:dyDescent="0.2">
      <c r="B12" s="517" t="s">
        <v>109</v>
      </c>
      <c r="C12" s="264" t="s">
        <v>110</v>
      </c>
      <c r="D12" s="264" t="s">
        <v>111</v>
      </c>
      <c r="E12" s="258">
        <v>0</v>
      </c>
      <c r="F12" s="340">
        <v>0</v>
      </c>
      <c r="G12" s="258">
        <v>0</v>
      </c>
      <c r="H12" s="247">
        <v>1</v>
      </c>
      <c r="I12" s="249">
        <f>SUM(E12:H12)</f>
        <v>1</v>
      </c>
      <c r="J12" s="246" t="s">
        <v>112</v>
      </c>
      <c r="K12" s="246" t="s">
        <v>113</v>
      </c>
      <c r="L12" s="563">
        <v>1</v>
      </c>
      <c r="M12" s="500" t="s">
        <v>114</v>
      </c>
      <c r="N12" s="565" t="s">
        <v>115</v>
      </c>
      <c r="O12" s="519">
        <v>1</v>
      </c>
      <c r="P12" s="500" t="s">
        <v>116</v>
      </c>
      <c r="Q12" s="516">
        <f>R12+S12+T12</f>
        <v>42000000</v>
      </c>
      <c r="R12" s="567">
        <v>42000000</v>
      </c>
      <c r="S12" s="510">
        <v>0</v>
      </c>
      <c r="T12" s="510">
        <v>0</v>
      </c>
      <c r="U12" s="510">
        <v>0</v>
      </c>
      <c r="V12" s="593" t="s">
        <v>462</v>
      </c>
      <c r="W12" s="548" t="s">
        <v>685</v>
      </c>
      <c r="X12" s="548" t="s">
        <v>684</v>
      </c>
      <c r="Y12" s="548" t="s">
        <v>693</v>
      </c>
      <c r="Z12" s="541" t="s">
        <v>694</v>
      </c>
    </row>
    <row r="13" spans="2:26" ht="252" customHeight="1" x14ac:dyDescent="0.2">
      <c r="B13" s="517"/>
      <c r="C13" s="264" t="s">
        <v>117</v>
      </c>
      <c r="D13" s="264" t="s">
        <v>111</v>
      </c>
      <c r="E13" s="258">
        <v>1</v>
      </c>
      <c r="F13" s="340">
        <v>0</v>
      </c>
      <c r="G13" s="258">
        <v>0</v>
      </c>
      <c r="H13" s="247">
        <v>0</v>
      </c>
      <c r="I13" s="249">
        <v>1</v>
      </c>
      <c r="J13" s="246" t="s">
        <v>112</v>
      </c>
      <c r="K13" s="246" t="s">
        <v>113</v>
      </c>
      <c r="L13" s="564"/>
      <c r="M13" s="500"/>
      <c r="N13" s="566"/>
      <c r="O13" s="519"/>
      <c r="P13" s="500"/>
      <c r="Q13" s="516"/>
      <c r="R13" s="567"/>
      <c r="S13" s="510"/>
      <c r="T13" s="510"/>
      <c r="U13" s="510"/>
      <c r="V13" s="593"/>
      <c r="W13" s="548"/>
      <c r="X13" s="548"/>
      <c r="Y13" s="548"/>
      <c r="Z13" s="596"/>
    </row>
    <row r="14" spans="2:26" ht="147.75" customHeight="1" x14ac:dyDescent="0.2">
      <c r="B14" s="517"/>
      <c r="C14" s="223" t="s">
        <v>369</v>
      </c>
      <c r="D14" s="264" t="s">
        <v>370</v>
      </c>
      <c r="E14" s="247">
        <v>0</v>
      </c>
      <c r="F14" s="247">
        <v>2</v>
      </c>
      <c r="G14" s="247">
        <v>2</v>
      </c>
      <c r="H14" s="247">
        <v>2</v>
      </c>
      <c r="I14" s="249">
        <f>SUM(E14:H14)</f>
        <v>6</v>
      </c>
      <c r="J14" s="246" t="s">
        <v>112</v>
      </c>
      <c r="K14" s="246" t="s">
        <v>113</v>
      </c>
      <c r="L14" s="206">
        <v>2</v>
      </c>
      <c r="M14" s="205" t="s">
        <v>119</v>
      </c>
      <c r="N14" s="264" t="s">
        <v>115</v>
      </c>
      <c r="O14" s="254">
        <v>2</v>
      </c>
      <c r="P14" s="246" t="s">
        <v>116</v>
      </c>
      <c r="Q14" s="181">
        <f>R14+S14+T14</f>
        <v>150000000</v>
      </c>
      <c r="R14" s="66">
        <v>150000000</v>
      </c>
      <c r="S14" s="67">
        <v>0</v>
      </c>
      <c r="T14" s="67">
        <v>0</v>
      </c>
      <c r="U14" s="67">
        <v>0</v>
      </c>
      <c r="V14" s="362" t="s">
        <v>461</v>
      </c>
      <c r="W14" s="365" t="s">
        <v>695</v>
      </c>
      <c r="X14" s="365" t="s">
        <v>691</v>
      </c>
      <c r="Y14" s="365" t="s">
        <v>696</v>
      </c>
      <c r="Z14" s="377" t="s">
        <v>692</v>
      </c>
    </row>
    <row r="15" spans="2:26" ht="90" customHeight="1" x14ac:dyDescent="0.2">
      <c r="B15" s="517" t="s">
        <v>120</v>
      </c>
      <c r="C15" s="579" t="s">
        <v>121</v>
      </c>
      <c r="D15" s="264" t="s">
        <v>122</v>
      </c>
      <c r="E15" s="69">
        <v>1</v>
      </c>
      <c r="F15" s="69">
        <v>1</v>
      </c>
      <c r="G15" s="69">
        <v>1</v>
      </c>
      <c r="H15" s="69">
        <v>1</v>
      </c>
      <c r="I15" s="70">
        <v>1</v>
      </c>
      <c r="J15" s="246" t="s">
        <v>112</v>
      </c>
      <c r="K15" s="246" t="s">
        <v>113</v>
      </c>
      <c r="L15" s="564">
        <v>3</v>
      </c>
      <c r="M15" s="500" t="s">
        <v>123</v>
      </c>
      <c r="N15" s="569" t="s">
        <v>124</v>
      </c>
      <c r="O15" s="562">
        <v>1</v>
      </c>
      <c r="P15" s="490" t="s">
        <v>125</v>
      </c>
      <c r="Q15" s="571">
        <f>R15+S15+T15</f>
        <v>515000000</v>
      </c>
      <c r="R15" s="567">
        <f>539000000-40000000-150000000+42000000-6000000</f>
        <v>385000000</v>
      </c>
      <c r="S15" s="510">
        <v>0</v>
      </c>
      <c r="T15" s="510">
        <f>150000000-20000000</f>
        <v>130000000</v>
      </c>
      <c r="U15" s="575">
        <f>97927501-25000000</f>
        <v>72927501</v>
      </c>
      <c r="V15" s="593" t="s">
        <v>460</v>
      </c>
      <c r="W15" s="548" t="s">
        <v>472</v>
      </c>
      <c r="X15" s="548" t="s">
        <v>697</v>
      </c>
      <c r="Y15" s="548" t="s">
        <v>699</v>
      </c>
      <c r="Z15" s="541" t="s">
        <v>698</v>
      </c>
    </row>
    <row r="16" spans="2:26" ht="102.75" customHeight="1" x14ac:dyDescent="0.2">
      <c r="B16" s="517"/>
      <c r="C16" s="580"/>
      <c r="D16" s="264" t="s">
        <v>126</v>
      </c>
      <c r="E16" s="258">
        <v>1</v>
      </c>
      <c r="F16" s="258">
        <v>0</v>
      </c>
      <c r="G16" s="258">
        <v>0</v>
      </c>
      <c r="H16" s="258">
        <v>0</v>
      </c>
      <c r="I16" s="249">
        <f t="shared" ref="I16:I26" si="0">SUM(E16:H16)</f>
        <v>1</v>
      </c>
      <c r="J16" s="246" t="s">
        <v>112</v>
      </c>
      <c r="K16" s="246" t="s">
        <v>118</v>
      </c>
      <c r="L16" s="568"/>
      <c r="M16" s="500"/>
      <c r="N16" s="569"/>
      <c r="O16" s="562"/>
      <c r="P16" s="493"/>
      <c r="Q16" s="571"/>
      <c r="R16" s="567"/>
      <c r="S16" s="510"/>
      <c r="T16" s="510"/>
      <c r="U16" s="575"/>
      <c r="V16" s="593"/>
      <c r="W16" s="548"/>
      <c r="X16" s="548"/>
      <c r="Y16" s="589"/>
      <c r="Z16" s="596"/>
    </row>
    <row r="17" spans="2:26" ht="151.5" customHeight="1" x14ac:dyDescent="0.2">
      <c r="B17" s="517"/>
      <c r="C17" s="577" t="s">
        <v>127</v>
      </c>
      <c r="D17" s="578" t="s">
        <v>128</v>
      </c>
      <c r="E17" s="570">
        <v>1</v>
      </c>
      <c r="F17" s="570">
        <v>1</v>
      </c>
      <c r="G17" s="570">
        <v>1</v>
      </c>
      <c r="H17" s="570">
        <v>1</v>
      </c>
      <c r="I17" s="508">
        <f t="shared" si="0"/>
        <v>4</v>
      </c>
      <c r="J17" s="500" t="s">
        <v>112</v>
      </c>
      <c r="K17" s="500" t="s">
        <v>118</v>
      </c>
      <c r="L17" s="249">
        <v>4</v>
      </c>
      <c r="M17" s="72" t="s">
        <v>129</v>
      </c>
      <c r="N17" s="262" t="s">
        <v>115</v>
      </c>
      <c r="O17" s="254">
        <v>1</v>
      </c>
      <c r="P17" s="246" t="s">
        <v>116</v>
      </c>
      <c r="Q17" s="259">
        <f>R17+S17+T17</f>
        <v>371363753</v>
      </c>
      <c r="R17" s="256">
        <f>273000000-36556247+48720000+20000000+66200000</f>
        <v>371363753</v>
      </c>
      <c r="S17" s="251">
        <v>0</v>
      </c>
      <c r="T17" s="251">
        <v>0</v>
      </c>
      <c r="U17" s="256">
        <v>0</v>
      </c>
      <c r="V17" s="362" t="s">
        <v>463</v>
      </c>
      <c r="W17" s="365" t="s">
        <v>473</v>
      </c>
      <c r="X17" s="365" t="s">
        <v>474</v>
      </c>
      <c r="Y17" s="358" t="s">
        <v>686</v>
      </c>
      <c r="Z17" s="377" t="s">
        <v>485</v>
      </c>
    </row>
    <row r="18" spans="2:26" ht="155.25" customHeight="1" x14ac:dyDescent="0.2">
      <c r="B18" s="517"/>
      <c r="C18" s="577"/>
      <c r="D18" s="578"/>
      <c r="E18" s="570"/>
      <c r="F18" s="570"/>
      <c r="G18" s="570"/>
      <c r="H18" s="570"/>
      <c r="I18" s="508"/>
      <c r="J18" s="500"/>
      <c r="K18" s="500"/>
      <c r="L18" s="249">
        <v>5</v>
      </c>
      <c r="M18" s="72" t="s">
        <v>130</v>
      </c>
      <c r="N18" s="262" t="s">
        <v>115</v>
      </c>
      <c r="O18" s="254">
        <v>1</v>
      </c>
      <c r="P18" s="246" t="s">
        <v>116</v>
      </c>
      <c r="Q18" s="259">
        <f>R18+S18+T18</f>
        <v>95000000</v>
      </c>
      <c r="R18" s="256">
        <v>75000000</v>
      </c>
      <c r="S18" s="251">
        <v>0</v>
      </c>
      <c r="T18" s="251">
        <v>20000000</v>
      </c>
      <c r="U18" s="184">
        <f>19500000-9750000</f>
        <v>9750000</v>
      </c>
      <c r="V18" s="362" t="s">
        <v>475</v>
      </c>
      <c r="W18" s="365" t="s">
        <v>630</v>
      </c>
      <c r="X18" s="365" t="s">
        <v>628</v>
      </c>
      <c r="Y18" s="383" t="s">
        <v>632</v>
      </c>
      <c r="Z18" s="377" t="s">
        <v>629</v>
      </c>
    </row>
    <row r="19" spans="2:26" ht="183.75" customHeight="1" x14ac:dyDescent="0.2">
      <c r="B19" s="517"/>
      <c r="C19" s="245" t="s">
        <v>131</v>
      </c>
      <c r="D19" s="264" t="s">
        <v>132</v>
      </c>
      <c r="E19" s="258">
        <v>1</v>
      </c>
      <c r="F19" s="258">
        <v>1</v>
      </c>
      <c r="G19" s="258">
        <v>1</v>
      </c>
      <c r="H19" s="258">
        <v>1</v>
      </c>
      <c r="I19" s="249">
        <f>SUM(E19:H19)</f>
        <v>4</v>
      </c>
      <c r="J19" s="246" t="s">
        <v>112</v>
      </c>
      <c r="K19" s="246" t="s">
        <v>30</v>
      </c>
      <c r="L19" s="249">
        <v>6</v>
      </c>
      <c r="M19" s="74" t="s">
        <v>133</v>
      </c>
      <c r="N19" s="75" t="s">
        <v>115</v>
      </c>
      <c r="O19" s="249">
        <v>1</v>
      </c>
      <c r="P19" s="76" t="s">
        <v>134</v>
      </c>
      <c r="Q19" s="77">
        <f>R19+S19+T19</f>
        <v>70000000</v>
      </c>
      <c r="R19" s="66">
        <v>70000000</v>
      </c>
      <c r="S19" s="251">
        <v>0</v>
      </c>
      <c r="T19" s="251">
        <v>0</v>
      </c>
      <c r="U19" s="256">
        <v>0</v>
      </c>
      <c r="V19" s="362" t="s">
        <v>476</v>
      </c>
      <c r="W19" s="365" t="s">
        <v>606</v>
      </c>
      <c r="X19" s="365" t="s">
        <v>607</v>
      </c>
      <c r="Y19" s="365" t="s">
        <v>631</v>
      </c>
      <c r="Z19" s="377" t="s">
        <v>477</v>
      </c>
    </row>
    <row r="20" spans="2:26" ht="68.25" customHeight="1" x14ac:dyDescent="0.2">
      <c r="B20" s="517"/>
      <c r="C20" s="221" t="s">
        <v>381</v>
      </c>
      <c r="D20" s="222" t="s">
        <v>382</v>
      </c>
      <c r="E20" s="258">
        <v>0</v>
      </c>
      <c r="F20" s="258">
        <v>1</v>
      </c>
      <c r="G20" s="258">
        <v>1</v>
      </c>
      <c r="H20" s="258">
        <v>1</v>
      </c>
      <c r="I20" s="249">
        <f t="shared" si="0"/>
        <v>3</v>
      </c>
      <c r="J20" s="246" t="s">
        <v>112</v>
      </c>
      <c r="K20" s="246" t="s">
        <v>118</v>
      </c>
      <c r="L20" s="508">
        <v>7</v>
      </c>
      <c r="M20" s="488" t="s">
        <v>135</v>
      </c>
      <c r="N20" s="569" t="s">
        <v>115</v>
      </c>
      <c r="O20" s="519">
        <v>4</v>
      </c>
      <c r="P20" s="488" t="s">
        <v>134</v>
      </c>
      <c r="Q20" s="574">
        <f>R20+S20+T20</f>
        <v>50000000</v>
      </c>
      <c r="R20" s="567">
        <f>70000000-20000000</f>
        <v>50000000</v>
      </c>
      <c r="S20" s="510">
        <v>0</v>
      </c>
      <c r="T20" s="510">
        <v>0</v>
      </c>
      <c r="U20" s="576">
        <f>254877231+9750000+53050000+27000000</f>
        <v>344677231</v>
      </c>
      <c r="V20" s="362" t="s">
        <v>464</v>
      </c>
      <c r="W20" s="365" t="s">
        <v>608</v>
      </c>
      <c r="X20" s="548" t="s">
        <v>635</v>
      </c>
      <c r="Y20" s="548" t="s">
        <v>636</v>
      </c>
      <c r="Z20" s="541" t="s">
        <v>637</v>
      </c>
    </row>
    <row r="21" spans="2:26" ht="72.75" customHeight="1" x14ac:dyDescent="0.2">
      <c r="B21" s="517"/>
      <c r="C21" s="245" t="s">
        <v>136</v>
      </c>
      <c r="D21" s="264" t="s">
        <v>137</v>
      </c>
      <c r="E21" s="258">
        <v>2</v>
      </c>
      <c r="F21" s="80">
        <v>2</v>
      </c>
      <c r="G21" s="258">
        <v>2</v>
      </c>
      <c r="H21" s="258">
        <v>2</v>
      </c>
      <c r="I21" s="249">
        <f>SUM(E21:H21)</f>
        <v>8</v>
      </c>
      <c r="J21" s="246" t="s">
        <v>112</v>
      </c>
      <c r="K21" s="246" t="s">
        <v>118</v>
      </c>
      <c r="L21" s="508"/>
      <c r="M21" s="488"/>
      <c r="N21" s="569"/>
      <c r="O21" s="519"/>
      <c r="P21" s="488"/>
      <c r="Q21" s="574"/>
      <c r="R21" s="567"/>
      <c r="S21" s="510"/>
      <c r="T21" s="510"/>
      <c r="U21" s="576"/>
      <c r="V21" s="362" t="s">
        <v>465</v>
      </c>
      <c r="W21" s="365" t="s">
        <v>609</v>
      </c>
      <c r="X21" s="548"/>
      <c r="Y21" s="548"/>
      <c r="Z21" s="541"/>
    </row>
    <row r="22" spans="2:26" ht="93" customHeight="1" x14ac:dyDescent="0.2">
      <c r="B22" s="517"/>
      <c r="C22" s="78" t="s">
        <v>138</v>
      </c>
      <c r="D22" s="79" t="s">
        <v>139</v>
      </c>
      <c r="E22" s="258">
        <v>0</v>
      </c>
      <c r="F22" s="258">
        <v>1</v>
      </c>
      <c r="G22" s="258">
        <v>1</v>
      </c>
      <c r="H22" s="258">
        <v>1</v>
      </c>
      <c r="I22" s="249">
        <v>3</v>
      </c>
      <c r="J22" s="246" t="s">
        <v>112</v>
      </c>
      <c r="K22" s="246" t="s">
        <v>118</v>
      </c>
      <c r="L22" s="508"/>
      <c r="M22" s="488"/>
      <c r="N22" s="569"/>
      <c r="O22" s="519"/>
      <c r="P22" s="488"/>
      <c r="Q22" s="574"/>
      <c r="R22" s="567"/>
      <c r="S22" s="510"/>
      <c r="T22" s="510"/>
      <c r="U22" s="576"/>
      <c r="V22" s="362" t="s">
        <v>466</v>
      </c>
      <c r="W22" s="365" t="s">
        <v>478</v>
      </c>
      <c r="X22" s="548"/>
      <c r="Y22" s="548"/>
      <c r="Z22" s="541"/>
    </row>
    <row r="23" spans="2:26" ht="112.5" customHeight="1" x14ac:dyDescent="0.2">
      <c r="B23" s="517" t="s">
        <v>140</v>
      </c>
      <c r="C23" s="336" t="s">
        <v>141</v>
      </c>
      <c r="D23" s="264" t="s">
        <v>142</v>
      </c>
      <c r="E23" s="333">
        <v>0</v>
      </c>
      <c r="F23" s="258">
        <v>2</v>
      </c>
      <c r="G23" s="258">
        <v>2</v>
      </c>
      <c r="H23" s="258">
        <v>2</v>
      </c>
      <c r="I23" s="342">
        <f t="shared" si="0"/>
        <v>6</v>
      </c>
      <c r="J23" s="246" t="s">
        <v>112</v>
      </c>
      <c r="K23" s="246" t="s">
        <v>118</v>
      </c>
      <c r="L23" s="508">
        <v>8</v>
      </c>
      <c r="M23" s="500" t="s">
        <v>143</v>
      </c>
      <c r="N23" s="264" t="s">
        <v>144</v>
      </c>
      <c r="O23" s="249">
        <v>2</v>
      </c>
      <c r="P23" s="246" t="s">
        <v>116</v>
      </c>
      <c r="Q23" s="571">
        <f>R23+S23+T23</f>
        <v>753280000</v>
      </c>
      <c r="R23" s="567">
        <f>760000000-150000000-6720000</f>
        <v>603280000</v>
      </c>
      <c r="S23" s="572">
        <v>0</v>
      </c>
      <c r="T23" s="572">
        <v>150000000</v>
      </c>
      <c r="U23" s="575">
        <v>25000000</v>
      </c>
      <c r="V23" s="362" t="s">
        <v>467</v>
      </c>
      <c r="W23" s="365" t="s">
        <v>638</v>
      </c>
      <c r="X23" s="548" t="s">
        <v>481</v>
      </c>
      <c r="Y23" s="548" t="s">
        <v>640</v>
      </c>
      <c r="Z23" s="541" t="s">
        <v>641</v>
      </c>
    </row>
    <row r="24" spans="2:26" ht="48" customHeight="1" x14ac:dyDescent="0.2">
      <c r="B24" s="517"/>
      <c r="C24" s="264" t="s">
        <v>145</v>
      </c>
      <c r="D24" s="264" t="s">
        <v>146</v>
      </c>
      <c r="E24" s="257">
        <v>1</v>
      </c>
      <c r="F24" s="257">
        <v>1</v>
      </c>
      <c r="G24" s="257">
        <v>1</v>
      </c>
      <c r="H24" s="257">
        <v>1</v>
      </c>
      <c r="I24" s="249">
        <f>SUM(E24:H24)</f>
        <v>4</v>
      </c>
      <c r="J24" s="246" t="s">
        <v>112</v>
      </c>
      <c r="K24" s="246" t="s">
        <v>118</v>
      </c>
      <c r="L24" s="508"/>
      <c r="M24" s="500"/>
      <c r="N24" s="264" t="s">
        <v>115</v>
      </c>
      <c r="O24" s="249">
        <v>1</v>
      </c>
      <c r="P24" s="246" t="s">
        <v>116</v>
      </c>
      <c r="Q24" s="571"/>
      <c r="R24" s="567"/>
      <c r="S24" s="572"/>
      <c r="T24" s="572"/>
      <c r="U24" s="575"/>
      <c r="V24" s="362" t="s">
        <v>468</v>
      </c>
      <c r="W24" s="365" t="s">
        <v>639</v>
      </c>
      <c r="X24" s="548"/>
      <c r="Y24" s="548"/>
      <c r="Z24" s="596"/>
    </row>
    <row r="25" spans="2:26" ht="144" customHeight="1" x14ac:dyDescent="0.2">
      <c r="B25" s="517"/>
      <c r="C25" s="264" t="s">
        <v>147</v>
      </c>
      <c r="D25" s="264" t="s">
        <v>148</v>
      </c>
      <c r="E25" s="257">
        <v>2</v>
      </c>
      <c r="F25" s="257">
        <v>2</v>
      </c>
      <c r="G25" s="257">
        <v>2</v>
      </c>
      <c r="H25" s="257">
        <v>2</v>
      </c>
      <c r="I25" s="249">
        <f>SUM(E25:H25)</f>
        <v>8</v>
      </c>
      <c r="J25" s="246" t="s">
        <v>112</v>
      </c>
      <c r="K25" s="246" t="s">
        <v>118</v>
      </c>
      <c r="L25" s="508"/>
      <c r="M25" s="500"/>
      <c r="N25" s="264" t="s">
        <v>149</v>
      </c>
      <c r="O25" s="249">
        <v>2</v>
      </c>
      <c r="P25" s="246" t="s">
        <v>116</v>
      </c>
      <c r="Q25" s="571"/>
      <c r="R25" s="567"/>
      <c r="S25" s="572"/>
      <c r="T25" s="572"/>
      <c r="U25" s="575"/>
      <c r="V25" s="362" t="s">
        <v>469</v>
      </c>
      <c r="W25" s="365" t="s">
        <v>479</v>
      </c>
      <c r="X25" s="548"/>
      <c r="Y25" s="548"/>
      <c r="Z25" s="596"/>
    </row>
    <row r="26" spans="2:26" ht="54.75" customHeight="1" x14ac:dyDescent="0.2">
      <c r="B26" s="517"/>
      <c r="C26" s="336" t="s">
        <v>150</v>
      </c>
      <c r="D26" s="336" t="s">
        <v>150</v>
      </c>
      <c r="E26" s="334">
        <v>0</v>
      </c>
      <c r="F26" s="257">
        <v>3</v>
      </c>
      <c r="G26" s="257">
        <v>4</v>
      </c>
      <c r="H26" s="257">
        <v>3</v>
      </c>
      <c r="I26" s="342">
        <f t="shared" si="0"/>
        <v>10</v>
      </c>
      <c r="J26" s="246" t="s">
        <v>112</v>
      </c>
      <c r="K26" s="246" t="s">
        <v>118</v>
      </c>
      <c r="L26" s="508"/>
      <c r="M26" s="500"/>
      <c r="N26" s="264" t="s">
        <v>150</v>
      </c>
      <c r="O26" s="254">
        <v>3</v>
      </c>
      <c r="P26" s="246" t="s">
        <v>116</v>
      </c>
      <c r="Q26" s="571"/>
      <c r="R26" s="567"/>
      <c r="S26" s="572"/>
      <c r="T26" s="572"/>
      <c r="U26" s="575"/>
      <c r="V26" s="362" t="s">
        <v>470</v>
      </c>
      <c r="W26" s="365" t="s">
        <v>480</v>
      </c>
      <c r="X26" s="548"/>
      <c r="Y26" s="548"/>
      <c r="Z26" s="596"/>
    </row>
    <row r="27" spans="2:26" ht="81.75" customHeight="1" x14ac:dyDescent="0.2">
      <c r="B27" s="517"/>
      <c r="C27" s="264" t="s">
        <v>151</v>
      </c>
      <c r="D27" s="264" t="s">
        <v>152</v>
      </c>
      <c r="E27" s="258">
        <v>0</v>
      </c>
      <c r="F27" s="258">
        <v>1</v>
      </c>
      <c r="G27" s="258">
        <v>1</v>
      </c>
      <c r="H27" s="258">
        <v>1</v>
      </c>
      <c r="I27" s="249">
        <v>3</v>
      </c>
      <c r="J27" s="246" t="s">
        <v>112</v>
      </c>
      <c r="K27" s="246" t="s">
        <v>118</v>
      </c>
      <c r="L27" s="249">
        <v>9</v>
      </c>
      <c r="M27" s="248" t="s">
        <v>153</v>
      </c>
      <c r="N27" s="76" t="s">
        <v>115</v>
      </c>
      <c r="O27" s="254">
        <v>1</v>
      </c>
      <c r="P27" s="246" t="s">
        <v>116</v>
      </c>
      <c r="Q27" s="181">
        <f>R27+S27+T27</f>
        <v>0</v>
      </c>
      <c r="R27" s="256">
        <f>42000000+6720000-48720000</f>
        <v>0</v>
      </c>
      <c r="S27" s="260">
        <v>0</v>
      </c>
      <c r="T27" s="260">
        <v>0</v>
      </c>
      <c r="U27" s="251">
        <v>0</v>
      </c>
      <c r="V27" s="362" t="s">
        <v>471</v>
      </c>
      <c r="W27" s="365" t="s">
        <v>482</v>
      </c>
      <c r="X27" s="365" t="s">
        <v>588</v>
      </c>
      <c r="Y27" s="365" t="s">
        <v>483</v>
      </c>
      <c r="Z27" s="379" t="s">
        <v>590</v>
      </c>
    </row>
    <row r="28" spans="2:26" ht="16.5" customHeight="1" x14ac:dyDescent="0.2">
      <c r="B28" s="521" t="s">
        <v>154</v>
      </c>
      <c r="C28" s="521"/>
      <c r="D28" s="521"/>
      <c r="E28" s="521"/>
      <c r="F28" s="521"/>
      <c r="G28" s="521"/>
      <c r="H28" s="521"/>
      <c r="I28" s="521"/>
      <c r="J28" s="521"/>
      <c r="K28" s="521"/>
      <c r="L28" s="521"/>
      <c r="M28" s="521"/>
      <c r="N28" s="521"/>
      <c r="O28" s="521"/>
      <c r="P28" s="521"/>
      <c r="Q28" s="521"/>
      <c r="R28" s="521"/>
      <c r="S28" s="521"/>
      <c r="T28" s="521"/>
      <c r="U28" s="521"/>
      <c r="V28" s="597"/>
      <c r="W28" s="597"/>
      <c r="X28" s="597"/>
      <c r="Y28" s="597"/>
    </row>
    <row r="29" spans="2:26" ht="16.5" x14ac:dyDescent="0.2">
      <c r="B29" s="521" t="s">
        <v>155</v>
      </c>
      <c r="C29" s="521"/>
      <c r="D29" s="521"/>
      <c r="E29" s="521"/>
      <c r="F29" s="521"/>
      <c r="G29" s="521"/>
      <c r="H29" s="521"/>
      <c r="I29" s="521"/>
      <c r="J29" s="521"/>
      <c r="K29" s="521"/>
      <c r="L29" s="521"/>
      <c r="M29" s="521"/>
      <c r="N29" s="521"/>
      <c r="O29" s="521"/>
      <c r="P29" s="521"/>
      <c r="Q29" s="521"/>
      <c r="R29" s="521"/>
      <c r="S29" s="521"/>
      <c r="T29" s="521"/>
      <c r="U29" s="521"/>
      <c r="V29" s="597"/>
      <c r="W29" s="597"/>
      <c r="X29" s="597"/>
      <c r="Y29" s="597"/>
    </row>
    <row r="30" spans="2:26" x14ac:dyDescent="0.2">
      <c r="B30" s="515" t="s">
        <v>3</v>
      </c>
      <c r="C30" s="515"/>
      <c r="D30" s="515"/>
      <c r="E30" s="515"/>
      <c r="F30" s="515"/>
      <c r="G30" s="515"/>
      <c r="H30" s="515"/>
      <c r="I30" s="515"/>
      <c r="J30" s="515"/>
      <c r="K30" s="252"/>
      <c r="L30" s="515" t="s">
        <v>72</v>
      </c>
      <c r="M30" s="515"/>
      <c r="N30" s="515"/>
      <c r="O30" s="515"/>
      <c r="P30" s="515"/>
      <c r="Q30" s="509" t="s">
        <v>4</v>
      </c>
      <c r="R30" s="509"/>
      <c r="S30" s="509"/>
      <c r="T30" s="509"/>
      <c r="U30" s="520" t="s">
        <v>40</v>
      </c>
      <c r="V30" s="597"/>
      <c r="W30" s="597"/>
      <c r="X30" s="597"/>
      <c r="Y30" s="597"/>
    </row>
    <row r="31" spans="2:26" ht="43.5" customHeight="1" x14ac:dyDescent="0.2">
      <c r="B31" s="250" t="s">
        <v>51</v>
      </c>
      <c r="C31" s="250" t="s">
        <v>12</v>
      </c>
      <c r="D31" s="250" t="s">
        <v>52</v>
      </c>
      <c r="E31" s="250" t="s">
        <v>24</v>
      </c>
      <c r="F31" s="250" t="s">
        <v>25</v>
      </c>
      <c r="G31" s="250" t="s">
        <v>26</v>
      </c>
      <c r="H31" s="250" t="s">
        <v>27</v>
      </c>
      <c r="I31" s="250" t="s">
        <v>28</v>
      </c>
      <c r="J31" s="250" t="s">
        <v>29</v>
      </c>
      <c r="K31" s="250" t="s">
        <v>47</v>
      </c>
      <c r="L31" s="255" t="s">
        <v>14</v>
      </c>
      <c r="M31" s="255" t="s">
        <v>31</v>
      </c>
      <c r="N31" s="255" t="s">
        <v>15</v>
      </c>
      <c r="O31" s="255" t="s">
        <v>16</v>
      </c>
      <c r="P31" s="250" t="s">
        <v>48</v>
      </c>
      <c r="Q31" s="255" t="s">
        <v>17</v>
      </c>
      <c r="R31" s="255" t="s">
        <v>18</v>
      </c>
      <c r="S31" s="255" t="s">
        <v>19</v>
      </c>
      <c r="T31" s="255" t="s">
        <v>361</v>
      </c>
      <c r="U31" s="520"/>
      <c r="V31" s="597"/>
      <c r="W31" s="597"/>
      <c r="X31" s="597"/>
      <c r="Y31" s="597"/>
    </row>
    <row r="32" spans="2:26" ht="70.5" customHeight="1" x14ac:dyDescent="0.2">
      <c r="B32" s="517" t="s">
        <v>156</v>
      </c>
      <c r="C32" s="246" t="s">
        <v>157</v>
      </c>
      <c r="D32" s="246" t="s">
        <v>158</v>
      </c>
      <c r="E32" s="247">
        <v>5</v>
      </c>
      <c r="F32" s="247">
        <v>5</v>
      </c>
      <c r="G32" s="247">
        <v>5</v>
      </c>
      <c r="H32" s="247">
        <v>5</v>
      </c>
      <c r="I32" s="249">
        <f>SUM(E32:H32)</f>
        <v>20</v>
      </c>
      <c r="J32" s="246" t="s">
        <v>112</v>
      </c>
      <c r="K32" s="246" t="s">
        <v>118</v>
      </c>
      <c r="L32" s="563">
        <v>10</v>
      </c>
      <c r="M32" s="500" t="s">
        <v>159</v>
      </c>
      <c r="N32" s="246" t="s">
        <v>158</v>
      </c>
      <c r="O32" s="247">
        <v>5</v>
      </c>
      <c r="P32" s="246" t="s">
        <v>160</v>
      </c>
      <c r="Q32" s="585">
        <v>503000000</v>
      </c>
      <c r="R32" s="587">
        <f>503000000-42000000+6000000-66200000</f>
        <v>400800000</v>
      </c>
      <c r="S32" s="587">
        <v>0</v>
      </c>
      <c r="T32" s="587">
        <v>0</v>
      </c>
      <c r="U32" s="583">
        <v>0</v>
      </c>
      <c r="V32" s="368" t="s">
        <v>450</v>
      </c>
      <c r="W32" s="365" t="s">
        <v>489</v>
      </c>
      <c r="X32" s="548" t="s">
        <v>487</v>
      </c>
      <c r="Y32" s="548" t="s">
        <v>491</v>
      </c>
      <c r="Z32" s="541" t="s">
        <v>490</v>
      </c>
    </row>
    <row r="33" spans="2:26" ht="75.75" customHeight="1" x14ac:dyDescent="0.2">
      <c r="B33" s="517"/>
      <c r="C33" s="246" t="s">
        <v>161</v>
      </c>
      <c r="D33" s="246" t="s">
        <v>162</v>
      </c>
      <c r="E33" s="247">
        <v>5</v>
      </c>
      <c r="F33" s="247">
        <v>5</v>
      </c>
      <c r="G33" s="247">
        <v>5</v>
      </c>
      <c r="H33" s="247">
        <v>5</v>
      </c>
      <c r="I33" s="249">
        <f>SUM(E33:H33)</f>
        <v>20</v>
      </c>
      <c r="J33" s="246" t="s">
        <v>112</v>
      </c>
      <c r="K33" s="246" t="s">
        <v>118</v>
      </c>
      <c r="L33" s="568"/>
      <c r="M33" s="500"/>
      <c r="N33" s="246" t="s">
        <v>163</v>
      </c>
      <c r="O33" s="247">
        <v>5</v>
      </c>
      <c r="P33" s="246" t="s">
        <v>164</v>
      </c>
      <c r="Q33" s="586"/>
      <c r="R33" s="588"/>
      <c r="S33" s="588"/>
      <c r="T33" s="588"/>
      <c r="U33" s="584"/>
      <c r="V33" s="368" t="s">
        <v>451</v>
      </c>
      <c r="W33" s="365" t="s">
        <v>488</v>
      </c>
      <c r="X33" s="548"/>
      <c r="Y33" s="589"/>
      <c r="Z33" s="541"/>
    </row>
    <row r="34" spans="2:26" ht="128.25" customHeight="1" x14ac:dyDescent="0.2">
      <c r="B34" s="253" t="s">
        <v>165</v>
      </c>
      <c r="C34" s="246" t="s">
        <v>166</v>
      </c>
      <c r="D34" s="246" t="s">
        <v>167</v>
      </c>
      <c r="E34" s="247">
        <v>1</v>
      </c>
      <c r="F34" s="247">
        <v>0</v>
      </c>
      <c r="G34" s="247">
        <v>0</v>
      </c>
      <c r="H34" s="247">
        <v>0</v>
      </c>
      <c r="I34" s="249">
        <f>SUM(E34:H34)</f>
        <v>1</v>
      </c>
      <c r="J34" s="246" t="s">
        <v>112</v>
      </c>
      <c r="K34" s="246" t="s">
        <v>168</v>
      </c>
      <c r="L34" s="249">
        <v>11</v>
      </c>
      <c r="M34" s="149" t="s">
        <v>375</v>
      </c>
      <c r="N34" s="246" t="s">
        <v>115</v>
      </c>
      <c r="O34" s="82">
        <v>1</v>
      </c>
      <c r="P34" s="246" t="s">
        <v>169</v>
      </c>
      <c r="Q34" s="261">
        <f>R34+S34+T34</f>
        <v>36000000</v>
      </c>
      <c r="R34" s="251">
        <v>36000000</v>
      </c>
      <c r="S34" s="265">
        <v>0</v>
      </c>
      <c r="T34" s="265">
        <v>0</v>
      </c>
      <c r="U34" s="251">
        <v>0</v>
      </c>
      <c r="V34" s="368" t="s">
        <v>452</v>
      </c>
      <c r="W34" s="365" t="s">
        <v>492</v>
      </c>
      <c r="X34" s="365" t="s">
        <v>493</v>
      </c>
      <c r="Y34" s="365" t="s">
        <v>494</v>
      </c>
      <c r="Z34" s="379" t="s">
        <v>495</v>
      </c>
    </row>
    <row r="35" spans="2:26" ht="16.5" x14ac:dyDescent="0.25">
      <c r="B35" s="501" t="s">
        <v>53</v>
      </c>
      <c r="C35" s="501"/>
      <c r="D35" s="501"/>
      <c r="E35" s="501"/>
      <c r="F35" s="501"/>
      <c r="G35" s="501"/>
      <c r="H35" s="501"/>
      <c r="I35" s="501"/>
      <c r="J35" s="501"/>
      <c r="K35" s="501"/>
      <c r="L35" s="501"/>
      <c r="M35" s="501"/>
      <c r="N35" s="501"/>
      <c r="O35" s="501"/>
      <c r="P35" s="501"/>
      <c r="Q35" s="175">
        <f>SUM(R35:T35)</f>
        <v>2483443753</v>
      </c>
      <c r="R35" s="175">
        <f>SUBTOTAL(9,R11:R34)</f>
        <v>2183443753</v>
      </c>
      <c r="S35" s="175">
        <f>SUBTOTAL(9,S11:S34)</f>
        <v>0</v>
      </c>
      <c r="T35" s="175">
        <f>SUBTOTAL(9,T11:T34)</f>
        <v>300000000</v>
      </c>
      <c r="U35" s="175">
        <f>SUBTOTAL(9,U11:U34)</f>
        <v>452354732</v>
      </c>
    </row>
    <row r="36" spans="2:26" ht="90" customHeight="1" x14ac:dyDescent="0.2">
      <c r="B36" s="594" t="s">
        <v>633</v>
      </c>
      <c r="C36" s="595"/>
      <c r="D36" s="595"/>
      <c r="E36" s="595"/>
      <c r="F36" s="595"/>
      <c r="G36" s="595"/>
      <c r="H36" s="595"/>
      <c r="I36" s="595"/>
      <c r="J36" s="595"/>
      <c r="K36" s="595"/>
      <c r="L36" s="595"/>
      <c r="M36" s="595"/>
      <c r="N36" s="595"/>
      <c r="O36" s="595"/>
      <c r="P36" s="595"/>
      <c r="Q36" s="595"/>
      <c r="R36" s="595"/>
      <c r="S36" s="595"/>
      <c r="T36" s="595"/>
      <c r="U36" s="595"/>
    </row>
    <row r="37" spans="2:26" ht="275.25" customHeight="1" x14ac:dyDescent="0.2">
      <c r="B37" s="592" t="s">
        <v>634</v>
      </c>
      <c r="C37" s="592"/>
      <c r="D37" s="592"/>
      <c r="E37" s="592"/>
      <c r="F37" s="592"/>
      <c r="G37" s="592"/>
      <c r="H37" s="592"/>
      <c r="I37" s="592"/>
      <c r="J37" s="592"/>
      <c r="K37" s="592"/>
      <c r="L37" s="592"/>
      <c r="M37" s="592"/>
      <c r="N37" s="592"/>
      <c r="O37" s="592"/>
      <c r="P37" s="592"/>
      <c r="Q37" s="592"/>
      <c r="R37" s="592"/>
      <c r="S37" s="592"/>
      <c r="T37" s="592"/>
      <c r="U37" s="592"/>
    </row>
    <row r="38" spans="2:26" x14ac:dyDescent="0.2">
      <c r="B38" s="303" t="s">
        <v>394</v>
      </c>
    </row>
    <row r="39" spans="2:26" x14ac:dyDescent="0.2">
      <c r="P39" s="191"/>
    </row>
  </sheetData>
  <mergeCells count="101">
    <mergeCell ref="V12:V13"/>
    <mergeCell ref="V15:V16"/>
    <mergeCell ref="B36:U36"/>
    <mergeCell ref="Z12:Z13"/>
    <mergeCell ref="Z15:Z16"/>
    <mergeCell ref="Z20:Z22"/>
    <mergeCell ref="Z23:Z26"/>
    <mergeCell ref="V28:Y31"/>
    <mergeCell ref="Z32:Z33"/>
    <mergeCell ref="B15:B22"/>
    <mergeCell ref="C15:C16"/>
    <mergeCell ref="L15:L16"/>
    <mergeCell ref="M15:M16"/>
    <mergeCell ref="N15:N16"/>
    <mergeCell ref="H17:H18"/>
    <mergeCell ref="I17:I18"/>
    <mergeCell ref="J17:J18"/>
    <mergeCell ref="K17:K18"/>
    <mergeCell ref="N20:N22"/>
    <mergeCell ref="C17:C18"/>
    <mergeCell ref="D17:D18"/>
    <mergeCell ref="E17:E18"/>
    <mergeCell ref="F17:F18"/>
    <mergeCell ref="G17:G18"/>
    <mergeCell ref="B1:U1"/>
    <mergeCell ref="B2:U2"/>
    <mergeCell ref="P12:P13"/>
    <mergeCell ref="L3:U3"/>
    <mergeCell ref="L4:U4"/>
    <mergeCell ref="B7:U7"/>
    <mergeCell ref="B8:U8"/>
    <mergeCell ref="B9:U9"/>
    <mergeCell ref="B10:J10"/>
    <mergeCell ref="L10:P10"/>
    <mergeCell ref="Q10:T10"/>
    <mergeCell ref="U10:U11"/>
    <mergeCell ref="U12:U13"/>
    <mergeCell ref="O12:O13"/>
    <mergeCell ref="B12:B14"/>
    <mergeCell ref="L12:L13"/>
    <mergeCell ref="M12:M13"/>
    <mergeCell ref="N12:N13"/>
    <mergeCell ref="U15:U16"/>
    <mergeCell ref="P15:P16"/>
    <mergeCell ref="Q15:Q16"/>
    <mergeCell ref="R15:R16"/>
    <mergeCell ref="S15:S16"/>
    <mergeCell ref="T15:T16"/>
    <mergeCell ref="O15:O16"/>
    <mergeCell ref="Q12:Q13"/>
    <mergeCell ref="R12:R13"/>
    <mergeCell ref="S12:S13"/>
    <mergeCell ref="T12:T13"/>
    <mergeCell ref="B37:U37"/>
    <mergeCell ref="B32:B33"/>
    <mergeCell ref="L32:L33"/>
    <mergeCell ref="M32:M33"/>
    <mergeCell ref="Q32:Q33"/>
    <mergeCell ref="R32:R33"/>
    <mergeCell ref="S32:S33"/>
    <mergeCell ref="O20:O22"/>
    <mergeCell ref="T23:T26"/>
    <mergeCell ref="U23:U26"/>
    <mergeCell ref="B28:U28"/>
    <mergeCell ref="B29:U29"/>
    <mergeCell ref="P20:P22"/>
    <mergeCell ref="Q20:Q22"/>
    <mergeCell ref="B30:J30"/>
    <mergeCell ref="L30:P30"/>
    <mergeCell ref="Q30:T30"/>
    <mergeCell ref="U30:U31"/>
    <mergeCell ref="R20:R22"/>
    <mergeCell ref="S20:S22"/>
    <mergeCell ref="T20:T22"/>
    <mergeCell ref="U20:U22"/>
    <mergeCell ref="B23:B27"/>
    <mergeCell ref="L23:L26"/>
    <mergeCell ref="X20:X22"/>
    <mergeCell ref="Y20:Y22"/>
    <mergeCell ref="X23:X26"/>
    <mergeCell ref="Y23:Y26"/>
    <mergeCell ref="X32:X33"/>
    <mergeCell ref="Y32:Y33"/>
    <mergeCell ref="T32:T33"/>
    <mergeCell ref="U32:U33"/>
    <mergeCell ref="B35:P35"/>
    <mergeCell ref="M23:M26"/>
    <mergeCell ref="Q23:Q26"/>
    <mergeCell ref="R23:R26"/>
    <mergeCell ref="S23:S26"/>
    <mergeCell ref="L20:L22"/>
    <mergeCell ref="M20:M22"/>
    <mergeCell ref="W9:Y9"/>
    <mergeCell ref="W12:W13"/>
    <mergeCell ref="W15:W16"/>
    <mergeCell ref="X12:X13"/>
    <mergeCell ref="Y12:Y13"/>
    <mergeCell ref="X15:X16"/>
    <mergeCell ref="Y15:Y16"/>
    <mergeCell ref="W10:X10"/>
    <mergeCell ref="Y10:Y11"/>
  </mergeCells>
  <conditionalFormatting sqref="O19">
    <cfRule type="expression" dxfId="230" priority="7" stopIfTrue="1">
      <formula>+IF((#REF!+#REF!+#REF!+#REF!+#REF!)&lt;&gt;$L20,1,0)</formula>
    </cfRule>
  </conditionalFormatting>
  <conditionalFormatting sqref="E12:H13">
    <cfRule type="expression" dxfId="229" priority="68" stopIfTrue="1">
      <formula>+IF((#REF!+#REF!+#REF!+#REF!+#REF!)&lt;&gt;$L12,1,0)</formula>
    </cfRule>
  </conditionalFormatting>
  <conditionalFormatting sqref="E34">
    <cfRule type="expression" dxfId="228" priority="67" stopIfTrue="1">
      <formula>+IF((#REF!+#REF!+#REF!+#REF!+#REF!)&lt;&gt;$L34,1,0)</formula>
    </cfRule>
  </conditionalFormatting>
  <conditionalFormatting sqref="C12:C13">
    <cfRule type="expression" dxfId="227" priority="66" stopIfTrue="1">
      <formula>+IF((#REF!+#REF!+#REF!+#REF!+#REF!)&lt;&gt;$M12,1,0)</formula>
    </cfRule>
  </conditionalFormatting>
  <conditionalFormatting sqref="D12:D13">
    <cfRule type="expression" dxfId="226" priority="65" stopIfTrue="1">
      <formula>+IF((#REF!+#REF!+#REF!+#REF!+#REF!)&lt;&gt;$M12,1,0)</formula>
    </cfRule>
  </conditionalFormatting>
  <conditionalFormatting sqref="C12:C13">
    <cfRule type="expression" dxfId="225" priority="64" stopIfTrue="1">
      <formula>+IF((#REF!+#REF!+#REF!+#REF!+#REF!)&lt;&gt;$M12,1,0)</formula>
    </cfRule>
  </conditionalFormatting>
  <conditionalFormatting sqref="D12:D13">
    <cfRule type="expression" dxfId="224" priority="63" stopIfTrue="1">
      <formula>+IF((#REF!+#REF!+#REF!+#REF!+#REF!)&lt;&gt;$M12,1,0)</formula>
    </cfRule>
  </conditionalFormatting>
  <conditionalFormatting sqref="E12:H13">
    <cfRule type="expression" dxfId="223" priority="62" stopIfTrue="1">
      <formula>+IF((#REF!+#REF!+#REF!+#REF!+#REF!)&lt;&gt;$L12,1,0)</formula>
    </cfRule>
  </conditionalFormatting>
  <conditionalFormatting sqref="F15:H16">
    <cfRule type="expression" dxfId="222" priority="61" stopIfTrue="1">
      <formula>+IF((#REF!+#REF!+#REF!+#REF!+#REF!)&lt;&gt;$M15,1,0)</formula>
    </cfRule>
  </conditionalFormatting>
  <conditionalFormatting sqref="D15:E16">
    <cfRule type="expression" dxfId="221" priority="60" stopIfTrue="1">
      <formula>+IF((#REF!+#REF!+#REF!+#REF!+#REF!)&lt;&gt;$N15,1,0)</formula>
    </cfRule>
  </conditionalFormatting>
  <conditionalFormatting sqref="E15:H16">
    <cfRule type="expression" dxfId="220" priority="59" stopIfTrue="1">
      <formula>+IF((#REF!+#REF!+#REF!+#REF!+#REF!)&lt;&gt;$M15,1,0)</formula>
    </cfRule>
  </conditionalFormatting>
  <conditionalFormatting sqref="N14:N15">
    <cfRule type="expression" dxfId="219" priority="58" stopIfTrue="1">
      <formula>+IF((#REF!+#REF!+#REF!+#REF!+#REF!)&lt;&gt;$M14,1,0)</formula>
    </cfRule>
  </conditionalFormatting>
  <conditionalFormatting sqref="E34">
    <cfRule type="expression" dxfId="218" priority="57" stopIfTrue="1">
      <formula>+IF((#REF!+#REF!+#REF!+#REF!+#REF!)&lt;&gt;$L34,1,0)</formula>
    </cfRule>
  </conditionalFormatting>
  <conditionalFormatting sqref="F20:H20 F22:H22">
    <cfRule type="expression" dxfId="217" priority="56" stopIfTrue="1">
      <formula>+IF((#REF!+#REF!+#REF!+#REF!+#REF!)&lt;&gt;$M20,1,0)</formula>
    </cfRule>
  </conditionalFormatting>
  <conditionalFormatting sqref="D20:E20 D22:E22">
    <cfRule type="expression" dxfId="216" priority="55" stopIfTrue="1">
      <formula>+IF((#REF!+#REF!+#REF!+#REF!+#REF!)&lt;&gt;$N20,1,0)</formula>
    </cfRule>
  </conditionalFormatting>
  <conditionalFormatting sqref="E20:H20 E22:H22">
    <cfRule type="expression" dxfId="215" priority="54" stopIfTrue="1">
      <formula>+IF((#REF!+#REF!+#REF!+#REF!+#REF!)&lt;&gt;$M20,1,0)</formula>
    </cfRule>
  </conditionalFormatting>
  <conditionalFormatting sqref="E26:H26">
    <cfRule type="expression" dxfId="214" priority="53" stopIfTrue="1">
      <formula>+IF((#REF!+#REF!+#REF!+#REF!+#REF!)&lt;&gt;$L26,1,0)</formula>
    </cfRule>
  </conditionalFormatting>
  <conditionalFormatting sqref="C26:D26">
    <cfRule type="expression" dxfId="213" priority="52" stopIfTrue="1">
      <formula>+IF((#REF!+#REF!+#REF!+#REF!+#REF!)&lt;&gt;$M26,1,0)</formula>
    </cfRule>
  </conditionalFormatting>
  <conditionalFormatting sqref="E26:H26">
    <cfRule type="expression" dxfId="212" priority="51" stopIfTrue="1">
      <formula>+IF((#REF!+#REF!+#REF!+#REF!+#REF!)&lt;&gt;$L26,1,0)</formula>
    </cfRule>
  </conditionalFormatting>
  <conditionalFormatting sqref="F23:H23">
    <cfRule type="expression" dxfId="211" priority="50" stopIfTrue="1">
      <formula>+IF((#REF!+#REF!+#REF!+#REF!+#REF!)&lt;&gt;$M23,1,0)</formula>
    </cfRule>
  </conditionalFormatting>
  <conditionalFormatting sqref="E23">
    <cfRule type="expression" dxfId="210" priority="49" stopIfTrue="1">
      <formula>+IF((#REF!+#REF!+#REF!+#REF!+#REF!)&lt;&gt;$N23,1,0)</formula>
    </cfRule>
  </conditionalFormatting>
  <conditionalFormatting sqref="E23:H23">
    <cfRule type="expression" dxfId="209" priority="48" stopIfTrue="1">
      <formula>+IF((#REF!+#REF!+#REF!+#REF!+#REF!)&lt;&gt;$M23,1,0)</formula>
    </cfRule>
  </conditionalFormatting>
  <conditionalFormatting sqref="C23">
    <cfRule type="expression" dxfId="208" priority="47" stopIfTrue="1">
      <formula>+IF((#REF!+#REF!+#REF!+#REF!+#REF!)&lt;&gt;$M23,1,0)</formula>
    </cfRule>
  </conditionalFormatting>
  <conditionalFormatting sqref="D23">
    <cfRule type="expression" dxfId="207" priority="46" stopIfTrue="1">
      <formula>+IF((#REF!+#REF!+#REF!+#REF!+#REF!)&lt;&gt;$M23,1,0)</formula>
    </cfRule>
  </conditionalFormatting>
  <conditionalFormatting sqref="F34:H34">
    <cfRule type="expression" dxfId="206" priority="45" stopIfTrue="1">
      <formula>+IF((#REF!+#REF!+#REF!+#REF!+#REF!)&lt;&gt;$L34,1,0)</formula>
    </cfRule>
  </conditionalFormatting>
  <conditionalFormatting sqref="F34:H34">
    <cfRule type="expression" dxfId="205" priority="44" stopIfTrue="1">
      <formula>+IF((#REF!+#REF!+#REF!+#REF!+#REF!)&lt;&gt;$L34,1,0)</formula>
    </cfRule>
  </conditionalFormatting>
  <conditionalFormatting sqref="N17:N18">
    <cfRule type="expression" dxfId="204" priority="40" stopIfTrue="1">
      <formula>+IF((#REF!+#REF!+#REF!+#REF!+#REF!)&lt;&gt;$N17,1,0)</formula>
    </cfRule>
  </conditionalFormatting>
  <conditionalFormatting sqref="E17:H17">
    <cfRule type="expression" dxfId="203" priority="41" stopIfTrue="1">
      <formula>+IF((#REF!+#REF!+#REF!+#REF!+#REF!)&lt;&gt;$M17,1,0)</formula>
    </cfRule>
  </conditionalFormatting>
  <conditionalFormatting sqref="F17:H17">
    <cfRule type="expression" dxfId="202" priority="43" stopIfTrue="1">
      <formula>+IF((#REF!+#REF!+#REF!+#REF!+#REF!)&lt;&gt;$M17,1,0)</formula>
    </cfRule>
  </conditionalFormatting>
  <conditionalFormatting sqref="D17:E17">
    <cfRule type="expression" dxfId="201" priority="42" stopIfTrue="1">
      <formula>+IF((#REF!+#REF!+#REF!+#REF!+#REF!)&lt;&gt;$N17,1,0)</formula>
    </cfRule>
  </conditionalFormatting>
  <conditionalFormatting sqref="E24:H24">
    <cfRule type="expression" dxfId="200" priority="39" stopIfTrue="1">
      <formula>+IF((#REF!+#REF!+#REF!+#REF!+#REF!)&lt;&gt;$L24,1,0)</formula>
    </cfRule>
  </conditionalFormatting>
  <conditionalFormatting sqref="C24">
    <cfRule type="expression" dxfId="199" priority="38" stopIfTrue="1">
      <formula>+IF((#REF!+#REF!+#REF!+#REF!+#REF!)&lt;&gt;$M24,1,0)</formula>
    </cfRule>
  </conditionalFormatting>
  <conditionalFormatting sqref="D24">
    <cfRule type="expression" dxfId="198" priority="37" stopIfTrue="1">
      <formula>+IF((#REF!+#REF!+#REF!+#REF!+#REF!)&lt;&gt;$M24,1,0)</formula>
    </cfRule>
  </conditionalFormatting>
  <conditionalFormatting sqref="E24:H24">
    <cfRule type="expression" dxfId="197" priority="36" stopIfTrue="1">
      <formula>+IF((#REF!+#REF!+#REF!+#REF!+#REF!)&lt;&gt;$L24,1,0)</formula>
    </cfRule>
  </conditionalFormatting>
  <conditionalFormatting sqref="E24:H24">
    <cfRule type="expression" dxfId="196" priority="35" stopIfTrue="1">
      <formula>+IF((#REF!+#REF!+#REF!+#REF!+#REF!)&lt;&gt;$L24,1,0)</formula>
    </cfRule>
  </conditionalFormatting>
  <conditionalFormatting sqref="C24">
    <cfRule type="expression" dxfId="195" priority="34" stopIfTrue="1">
      <formula>+IF((#REF!+#REF!+#REF!+#REF!+#REF!)&lt;&gt;$M24,1,0)</formula>
    </cfRule>
  </conditionalFormatting>
  <conditionalFormatting sqref="D24">
    <cfRule type="expression" dxfId="194" priority="33" stopIfTrue="1">
      <formula>+IF((#REF!+#REF!+#REF!+#REF!+#REF!)&lt;&gt;$M24,1,0)</formula>
    </cfRule>
  </conditionalFormatting>
  <conditionalFormatting sqref="F27:H27">
    <cfRule type="expression" dxfId="193" priority="32" stopIfTrue="1">
      <formula>+IF((#REF!+#REF!+#REF!+#REF!+#REF!)&lt;&gt;$M27,1,0)</formula>
    </cfRule>
  </conditionalFormatting>
  <conditionalFormatting sqref="E27">
    <cfRule type="expression" dxfId="192" priority="31" stopIfTrue="1">
      <formula>+IF((#REF!+#REF!+#REF!+#REF!+#REF!)&lt;&gt;$N27,1,0)</formula>
    </cfRule>
  </conditionalFormatting>
  <conditionalFormatting sqref="E27:H27">
    <cfRule type="expression" dxfId="191" priority="30" stopIfTrue="1">
      <formula>+IF((#REF!+#REF!+#REF!+#REF!+#REF!)&lt;&gt;$M27,1,0)</formula>
    </cfRule>
  </conditionalFormatting>
  <conditionalFormatting sqref="C27">
    <cfRule type="expression" dxfId="190" priority="29" stopIfTrue="1">
      <formula>+IF((#REF!+#REF!+#REF!+#REF!+#REF!)&lt;&gt;$M27,1,0)</formula>
    </cfRule>
  </conditionalFormatting>
  <conditionalFormatting sqref="D27">
    <cfRule type="expression" dxfId="189" priority="28" stopIfTrue="1">
      <formula>+IF((#REF!+#REF!+#REF!+#REF!+#REF!)&lt;&gt;$M27,1,0)</formula>
    </cfRule>
  </conditionalFormatting>
  <conditionalFormatting sqref="E25:H25">
    <cfRule type="expression" dxfId="188" priority="27" stopIfTrue="1">
      <formula>+IF((#REF!+#REF!+#REF!+#REF!+#REF!)&lt;&gt;$L25,1,0)</formula>
    </cfRule>
  </conditionalFormatting>
  <conditionalFormatting sqref="C25:D25">
    <cfRule type="expression" dxfId="187" priority="26" stopIfTrue="1">
      <formula>+IF((#REF!+#REF!+#REF!+#REF!+#REF!)&lt;&gt;$M25,1,0)</formula>
    </cfRule>
  </conditionalFormatting>
  <conditionalFormatting sqref="E25:H25">
    <cfRule type="expression" dxfId="186" priority="25" stopIfTrue="1">
      <formula>+IF((#REF!+#REF!+#REF!+#REF!+#REF!)&lt;&gt;$L25,1,0)</formula>
    </cfRule>
  </conditionalFormatting>
  <conditionalFormatting sqref="G25">
    <cfRule type="expression" dxfId="185" priority="24" stopIfTrue="1">
      <formula>+IF((#REF!+#REF!+#REF!+#REF!+#REF!)&lt;&gt;$L25,1,0)</formula>
    </cfRule>
  </conditionalFormatting>
  <conditionalFormatting sqref="G25">
    <cfRule type="expression" dxfId="184" priority="23" stopIfTrue="1">
      <formula>+IF((#REF!+#REF!+#REF!+#REF!+#REF!)&lt;&gt;$L25,1,0)</formula>
    </cfRule>
  </conditionalFormatting>
  <conditionalFormatting sqref="H25">
    <cfRule type="expression" dxfId="183" priority="22" stopIfTrue="1">
      <formula>+IF((#REF!+#REF!+#REF!+#REF!+#REF!)&lt;&gt;$L25,1,0)</formula>
    </cfRule>
  </conditionalFormatting>
  <conditionalFormatting sqref="H25">
    <cfRule type="expression" dxfId="182" priority="21" stopIfTrue="1">
      <formula>+IF((#REF!+#REF!+#REF!+#REF!+#REF!)&lt;&gt;$L25,1,0)</formula>
    </cfRule>
  </conditionalFormatting>
  <conditionalFormatting sqref="M25">
    <cfRule type="expression" dxfId="181" priority="20" stopIfTrue="1">
      <formula>+IF((#REF!+#REF!+#REF!+#REF!+#REF!)&lt;&gt;$M25,1,0)</formula>
    </cfRule>
  </conditionalFormatting>
  <conditionalFormatting sqref="N23:N25">
    <cfRule type="expression" dxfId="180" priority="19" stopIfTrue="1">
      <formula>+IF((#REF!+#REF!+#REF!+#REF!+#REF!)&lt;&gt;$M23,1,0)</formula>
    </cfRule>
  </conditionalFormatting>
  <conditionalFormatting sqref="O23:O25">
    <cfRule type="expression" dxfId="179" priority="18" stopIfTrue="1">
      <formula>+IF((#REF!+#REF!+#REF!+#REF!+#REF!)&lt;&gt;$L23,1,0)</formula>
    </cfRule>
  </conditionalFormatting>
  <conditionalFormatting sqref="O23:O25">
    <cfRule type="expression" dxfId="178" priority="17" stopIfTrue="1">
      <formula>+IF((#REF!+#REF!+#REF!+#REF!+#REF!)&lt;&gt;$L23,1,0)</formula>
    </cfRule>
  </conditionalFormatting>
  <conditionalFormatting sqref="F19:H19">
    <cfRule type="expression" dxfId="177" priority="16" stopIfTrue="1">
      <formula>+IF((#REF!+#REF!+#REF!+#REF!+#REF!)&lt;&gt;$M19,1,0)</formula>
    </cfRule>
  </conditionalFormatting>
  <conditionalFormatting sqref="D19:E19">
    <cfRule type="expression" dxfId="176" priority="15" stopIfTrue="1">
      <formula>+IF((#REF!+#REF!+#REF!+#REF!+#REF!)&lt;&gt;$N19,1,0)</formula>
    </cfRule>
  </conditionalFormatting>
  <conditionalFormatting sqref="E19:H19">
    <cfRule type="expression" dxfId="175" priority="14" stopIfTrue="1">
      <formula>+IF((#REF!+#REF!+#REF!+#REF!+#REF!)&lt;&gt;$M19,1,0)</formula>
    </cfRule>
  </conditionalFormatting>
  <conditionalFormatting sqref="N26">
    <cfRule type="expression" dxfId="174" priority="13" stopIfTrue="1">
      <formula>+IF((#REF!+#REF!+#REF!+#REF!+#REF!)&lt;&gt;$M26,1,0)</formula>
    </cfRule>
  </conditionalFormatting>
  <conditionalFormatting sqref="F21:H21">
    <cfRule type="expression" dxfId="173" priority="12" stopIfTrue="1">
      <formula>+IF((#REF!+#REF!+#REF!+#REF!+#REF!)&lt;&gt;$M21,1,0)</formula>
    </cfRule>
  </conditionalFormatting>
  <conditionalFormatting sqref="D21:E21">
    <cfRule type="expression" dxfId="172" priority="11" stopIfTrue="1">
      <formula>+IF((#REF!+#REF!+#REF!+#REF!+#REF!)&lt;&gt;$N21,1,0)</formula>
    </cfRule>
  </conditionalFormatting>
  <conditionalFormatting sqref="E21:H21">
    <cfRule type="expression" dxfId="171" priority="10" stopIfTrue="1">
      <formula>+IF((#REF!+#REF!+#REF!+#REF!+#REF!)&lt;&gt;$M21,1,0)</formula>
    </cfRule>
  </conditionalFormatting>
  <conditionalFormatting sqref="N19">
    <cfRule type="expression" dxfId="170" priority="9" stopIfTrue="1">
      <formula>+IF((#REF!+#REF!+#REF!+#REF!+#REF!)&lt;&gt;$M20,1,0)</formula>
    </cfRule>
  </conditionalFormatting>
  <conditionalFormatting sqref="O19">
    <cfRule type="expression" dxfId="169" priority="8" stopIfTrue="1">
      <formula>+IF((#REF!+#REF!+#REF!+#REF!+#REF!)&lt;&gt;$L20,1,0)</formula>
    </cfRule>
  </conditionalFormatting>
  <conditionalFormatting sqref="N12">
    <cfRule type="expression" dxfId="168" priority="69" stopIfTrue="1">
      <formula>+IF((#REF!+#REF!+#REF!+#REF!+#REF!)&lt;&gt;#REF!,1,0)</formula>
    </cfRule>
  </conditionalFormatting>
  <conditionalFormatting sqref="E33">
    <cfRule type="expression" dxfId="167" priority="70" stopIfTrue="1">
      <formula>+IF((#REF!+#REF!+#REF!+#REF!+#REF!)&lt;&gt;$L32,1,0)</formula>
    </cfRule>
  </conditionalFormatting>
  <conditionalFormatting sqref="E32">
    <cfRule type="expression" dxfId="166" priority="71" stopIfTrue="1">
      <formula>+IF((#REF!+#REF!+#REF!+#REF!+#REF!)&lt;&gt;#REF!,1,0)</formula>
    </cfRule>
  </conditionalFormatting>
  <conditionalFormatting sqref="E32">
    <cfRule type="expression" dxfId="165" priority="72" stopIfTrue="1">
      <formula>+IF((#REF!+#REF!+#REF!+#REF!+#REF!)&lt;&gt;#REF!,1,0)</formula>
    </cfRule>
  </conditionalFormatting>
  <conditionalFormatting sqref="E33">
    <cfRule type="expression" dxfId="164" priority="73" stopIfTrue="1">
      <formula>+IF((#REF!+#REF!+#REF!+#REF!+#REF!)&lt;&gt;$L32,1,0)</formula>
    </cfRule>
  </conditionalFormatting>
  <conditionalFormatting sqref="F33:H33">
    <cfRule type="expression" dxfId="163" priority="74" stopIfTrue="1">
      <formula>+IF((#REF!+#REF!+#REF!+#REF!+#REF!)&lt;&gt;$L32,1,0)</formula>
    </cfRule>
  </conditionalFormatting>
  <conditionalFormatting sqref="F32:H32">
    <cfRule type="expression" dxfId="162" priority="75" stopIfTrue="1">
      <formula>+IF((#REF!+#REF!+#REF!+#REF!+#REF!)&lt;&gt;#REF!,1,0)</formula>
    </cfRule>
  </conditionalFormatting>
  <conditionalFormatting sqref="F32:H32">
    <cfRule type="expression" dxfId="161" priority="76" stopIfTrue="1">
      <formula>+IF((#REF!+#REF!+#REF!+#REF!+#REF!)&lt;&gt;#REF!,1,0)</formula>
    </cfRule>
  </conditionalFormatting>
  <conditionalFormatting sqref="F33:H33">
    <cfRule type="expression" dxfId="160" priority="77" stopIfTrue="1">
      <formula>+IF((#REF!+#REF!+#REF!+#REF!+#REF!)&lt;&gt;$L32,1,0)</formula>
    </cfRule>
  </conditionalFormatting>
  <conditionalFormatting sqref="O32">
    <cfRule type="expression" dxfId="159" priority="78" stopIfTrue="1">
      <formula>+IF((#REF!+#REF!+#REF!+#REF!+#REF!)&lt;&gt;#REF!,1,0)</formula>
    </cfRule>
  </conditionalFormatting>
  <conditionalFormatting sqref="O33">
    <cfRule type="expression" dxfId="158" priority="79" stopIfTrue="1">
      <formula>+IF((#REF!+#REF!+#REF!+#REF!+#REF!)&lt;&gt;$L32,1,0)</formula>
    </cfRule>
  </conditionalFormatting>
  <conditionalFormatting sqref="C14">
    <cfRule type="expression" dxfId="157" priority="6" stopIfTrue="1">
      <formula>+IF((#REF!+#REF!+#REF!+#REF!+#REF!)&lt;&gt;$M14,1,0)</formula>
    </cfRule>
  </conditionalFormatting>
  <conditionalFormatting sqref="C14">
    <cfRule type="expression" dxfId="156" priority="5" stopIfTrue="1">
      <formula>+IF((#REF!+#REF!+#REF!+#REF!+#REF!)&lt;&gt;$M14,1,0)</formula>
    </cfRule>
  </conditionalFormatting>
  <conditionalFormatting sqref="D14">
    <cfRule type="expression" dxfId="155" priority="4" stopIfTrue="1">
      <formula>+IF((#REF!+#REF!+#REF!+#REF!+#REF!)&lt;&gt;$M14,1,0)</formula>
    </cfRule>
  </conditionalFormatting>
  <conditionalFormatting sqref="D14">
    <cfRule type="expression" dxfId="154" priority="3" stopIfTrue="1">
      <formula>+IF((#REF!+#REF!+#REF!+#REF!+#REF!)&lt;&gt;$M14,1,0)</formula>
    </cfRule>
  </conditionalFormatting>
  <conditionalFormatting sqref="E14:H14">
    <cfRule type="expression" dxfId="153" priority="2" stopIfTrue="1">
      <formula>+IF((#REF!+#REF!+#REF!+#REF!+#REF!)&lt;&gt;$L14,1,0)</formula>
    </cfRule>
  </conditionalFormatting>
  <conditionalFormatting sqref="E14:H14">
    <cfRule type="expression" dxfId="152" priority="1" stopIfTrue="1">
      <formula>+IF((#REF!+#REF!+#REF!+#REF!+#REF!)&lt;&gt;$L14,1,0)</formula>
    </cfRule>
  </conditionalFormatting>
  <dataValidations count="6">
    <dataValidation type="list" allowBlank="1" showInputMessage="1" showErrorMessage="1" sqref="P32:P34">
      <formula1>$Q$50:$Q$75</formula1>
    </dataValidation>
    <dataValidation type="list" allowBlank="1" showInputMessage="1" showErrorMessage="1" sqref="J32:J34 J19:J23 J25:J27 J12:J17">
      <formula1>$U$45:$U$53</formula1>
    </dataValidation>
    <dataValidation type="list" allowBlank="1" showInputMessage="1" showErrorMessage="1" sqref="K32:K34 K22:K23 K19:K20 K25:K27 K12:K17">
      <formula1>$I$39:$I$43</formula1>
    </dataValidation>
    <dataValidation type="list" allowBlank="1" showInputMessage="1" showErrorMessage="1" sqref="P23:P27 P17:P19 P12 P14:P15">
      <formula1>$Q$45:$Q$70</formula1>
    </dataValidation>
    <dataValidation type="list" allowBlank="1" showInputMessage="1" showErrorMessage="1" sqref="J24">
      <formula1>$U$39:$U$47</formula1>
    </dataValidation>
    <dataValidation type="list" allowBlank="1" showInputMessage="1" showErrorMessage="1" sqref="K24 K21">
      <formula1>$I$36:$I$38</formula1>
    </dataValidation>
  </dataValidations>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H52"/>
  <sheetViews>
    <sheetView topLeftCell="H39" zoomScale="80" zoomScaleNormal="80" zoomScalePageLayoutView="70" workbookViewId="0">
      <selection activeCell="I49" sqref="I49"/>
    </sheetView>
  </sheetViews>
  <sheetFormatPr baseColWidth="10" defaultColWidth="11.42578125"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46.7109375" style="2" customWidth="1"/>
    <col min="10" max="10" width="40.140625" style="4" customWidth="1"/>
    <col min="11" max="11" width="29.85546875" style="5" customWidth="1"/>
    <col min="12" max="15" width="9.5703125" style="6" customWidth="1"/>
    <col min="16" max="16" width="15.28515625" style="7" customWidth="1"/>
    <col min="17" max="17" width="27.28515625" style="8" customWidth="1"/>
    <col min="18" max="18" width="37.140625" style="8" customWidth="1"/>
    <col min="19" max="19" width="11.42578125" style="6" customWidth="1"/>
    <col min="20" max="20" width="68.7109375" style="9" customWidth="1"/>
    <col min="21" max="21" width="21" style="9" customWidth="1"/>
    <col min="22" max="22" width="14" style="9" customWidth="1"/>
    <col min="23" max="23" width="40.28515625" style="9" customWidth="1"/>
    <col min="24" max="24" width="32.28515625" style="9" customWidth="1"/>
    <col min="25" max="25" width="30.28515625" style="9" customWidth="1"/>
    <col min="26" max="26" width="32.85546875" style="9" customWidth="1"/>
    <col min="27" max="27" width="25.85546875" style="9" customWidth="1"/>
    <col min="28" max="28" width="17.28515625" style="9" hidden="1" customWidth="1"/>
    <col min="29" max="29" width="30.42578125" style="9" customWidth="1"/>
    <col min="30" max="31" width="11.42578125" style="9" customWidth="1"/>
    <col min="32" max="32" width="18" style="9" bestFit="1" customWidth="1"/>
    <col min="33" max="33" width="11.42578125" style="9"/>
    <col min="34" max="34" width="27.42578125" style="9" bestFit="1" customWidth="1"/>
    <col min="35" max="16384" width="11.42578125" style="9"/>
  </cols>
  <sheetData>
    <row r="2" spans="1:29" ht="36" customHeight="1" x14ac:dyDescent="0.2">
      <c r="Q2" s="178"/>
      <c r="U2" s="617" t="s">
        <v>0</v>
      </c>
      <c r="V2" s="617"/>
      <c r="W2" s="617"/>
      <c r="X2" s="617"/>
      <c r="Y2" s="617"/>
      <c r="Z2" s="617"/>
      <c r="AA2" s="617"/>
      <c r="AB2" s="617"/>
      <c r="AC2" s="617"/>
    </row>
    <row r="3" spans="1:29" ht="23.25" customHeight="1" x14ac:dyDescent="0.25">
      <c r="A3" s="10" t="s">
        <v>1</v>
      </c>
      <c r="F3" s="2"/>
      <c r="J3" s="8"/>
      <c r="K3" s="8"/>
      <c r="M3" s="11"/>
      <c r="Q3" s="31"/>
      <c r="T3" s="6"/>
      <c r="U3" s="618" t="s">
        <v>49</v>
      </c>
      <c r="V3" s="618"/>
      <c r="W3" s="618"/>
      <c r="X3" s="618"/>
      <c r="Y3" s="618"/>
      <c r="Z3" s="618"/>
      <c r="AA3" s="618"/>
      <c r="AB3" s="618"/>
      <c r="AC3" s="618"/>
    </row>
    <row r="4" spans="1:29" ht="23.25" customHeight="1" x14ac:dyDescent="0.25">
      <c r="A4" s="10"/>
      <c r="F4" s="2"/>
      <c r="I4" s="13"/>
      <c r="J4" s="13"/>
      <c r="K4" s="13"/>
      <c r="L4" s="13"/>
      <c r="M4" s="13"/>
      <c r="N4" s="13"/>
      <c r="O4" s="13"/>
      <c r="P4" s="13"/>
      <c r="Q4" s="13"/>
      <c r="R4" s="13"/>
      <c r="S4" s="13"/>
      <c r="T4" s="13"/>
      <c r="U4" s="619" t="s">
        <v>49</v>
      </c>
      <c r="V4" s="619"/>
      <c r="W4" s="619"/>
      <c r="X4" s="619"/>
      <c r="Y4" s="619"/>
      <c r="Z4" s="619"/>
      <c r="AA4" s="619"/>
      <c r="AB4" s="619"/>
      <c r="AC4" s="619"/>
    </row>
    <row r="5" spans="1:29" ht="12" customHeight="1" x14ac:dyDescent="0.25">
      <c r="A5" s="10"/>
      <c r="F5" s="2"/>
      <c r="I5" s="13"/>
      <c r="J5" s="13"/>
      <c r="K5" s="13"/>
      <c r="L5" s="13"/>
      <c r="M5" s="13"/>
      <c r="N5" s="13"/>
      <c r="O5" s="13"/>
      <c r="P5" s="13"/>
      <c r="Q5" s="13"/>
      <c r="R5" s="13"/>
      <c r="S5" s="13"/>
      <c r="T5" s="13"/>
      <c r="U5" s="13"/>
      <c r="V5" s="13"/>
      <c r="W5" s="13"/>
      <c r="X5" s="13"/>
      <c r="Y5" s="13"/>
      <c r="Z5" s="13"/>
      <c r="AA5" s="13"/>
      <c r="AB5" s="13"/>
    </row>
    <row r="6" spans="1:29" ht="31.5" customHeight="1" x14ac:dyDescent="0.3">
      <c r="A6" s="18"/>
      <c r="B6" s="19"/>
      <c r="C6" s="19"/>
      <c r="D6" s="19"/>
      <c r="E6" s="19"/>
      <c r="F6" s="20"/>
      <c r="G6" s="19"/>
      <c r="H6" s="19"/>
      <c r="I6" s="605" t="s">
        <v>23</v>
      </c>
      <c r="J6" s="605"/>
      <c r="K6" s="605"/>
      <c r="L6" s="605"/>
      <c r="M6" s="605"/>
      <c r="N6" s="605"/>
      <c r="O6" s="605"/>
      <c r="P6" s="605"/>
      <c r="Q6" s="605"/>
      <c r="R6" s="605"/>
      <c r="S6" s="605"/>
      <c r="T6" s="605"/>
      <c r="U6" s="605"/>
      <c r="V6" s="605"/>
      <c r="W6" s="605"/>
      <c r="X6" s="605"/>
      <c r="Y6" s="605"/>
      <c r="Z6" s="605"/>
      <c r="AA6" s="605"/>
      <c r="AB6" s="605"/>
      <c r="AC6" s="91"/>
    </row>
    <row r="7" spans="1:29" ht="27" customHeight="1" x14ac:dyDescent="0.3">
      <c r="A7" s="18"/>
      <c r="B7" s="19"/>
      <c r="C7" s="19"/>
      <c r="D7" s="19"/>
      <c r="E7" s="19"/>
      <c r="F7" s="20"/>
      <c r="G7" s="19"/>
      <c r="H7" s="19"/>
      <c r="I7" s="605" t="s">
        <v>34</v>
      </c>
      <c r="J7" s="605"/>
      <c r="K7" s="605"/>
      <c r="L7" s="605"/>
      <c r="M7" s="605"/>
      <c r="N7" s="605"/>
      <c r="O7" s="605"/>
      <c r="P7" s="605"/>
      <c r="Q7" s="605"/>
      <c r="R7" s="605"/>
      <c r="S7" s="605"/>
      <c r="T7" s="605"/>
      <c r="U7" s="605"/>
      <c r="V7" s="605"/>
      <c r="W7" s="605"/>
      <c r="X7" s="605"/>
      <c r="Y7" s="605"/>
      <c r="Z7" s="605"/>
      <c r="AA7" s="605"/>
      <c r="AB7" s="605"/>
      <c r="AC7" s="605"/>
    </row>
    <row r="8" spans="1:29" ht="20.25" hidden="1" customHeight="1" x14ac:dyDescent="0.3">
      <c r="A8" s="18"/>
      <c r="B8" s="19"/>
      <c r="C8" s="19"/>
      <c r="D8" s="19"/>
      <c r="E8" s="19"/>
      <c r="F8" s="20"/>
      <c r="G8" s="19"/>
      <c r="H8" s="19"/>
      <c r="I8" s="92" t="s">
        <v>35</v>
      </c>
      <c r="J8" s="92"/>
      <c r="K8" s="92"/>
      <c r="L8" s="92"/>
      <c r="M8" s="92"/>
      <c r="N8" s="92"/>
      <c r="O8" s="92"/>
      <c r="P8" s="92"/>
      <c r="Q8" s="92"/>
      <c r="R8" s="92"/>
      <c r="S8" s="92"/>
      <c r="T8" s="92"/>
      <c r="U8" s="92"/>
      <c r="V8" s="92"/>
      <c r="W8" s="92"/>
      <c r="X8" s="92"/>
      <c r="Y8" s="92"/>
      <c r="Z8" s="92"/>
      <c r="AA8" s="92"/>
      <c r="AB8" s="92"/>
      <c r="AC8" s="92"/>
    </row>
    <row r="9" spans="1:29" ht="20.25" hidden="1" customHeight="1" x14ac:dyDescent="0.3">
      <c r="A9" s="18"/>
      <c r="B9" s="19"/>
      <c r="C9" s="19"/>
      <c r="D9" s="19"/>
      <c r="E9" s="19"/>
      <c r="F9" s="20"/>
      <c r="G9" s="19"/>
      <c r="H9" s="19"/>
      <c r="I9" s="93" t="s">
        <v>3</v>
      </c>
      <c r="J9" s="93"/>
      <c r="K9" s="93"/>
      <c r="L9" s="93"/>
      <c r="M9" s="93"/>
      <c r="N9" s="93"/>
      <c r="O9" s="93"/>
      <c r="P9" s="93"/>
      <c r="Q9" s="93"/>
      <c r="R9" s="94"/>
      <c r="S9" s="93" t="s">
        <v>32</v>
      </c>
      <c r="T9" s="93"/>
      <c r="U9" s="93"/>
      <c r="V9" s="93"/>
      <c r="W9" s="93"/>
      <c r="X9" s="95" t="s">
        <v>4</v>
      </c>
      <c r="Y9" s="95"/>
      <c r="Z9" s="95"/>
      <c r="AA9" s="95"/>
      <c r="AB9" s="95"/>
      <c r="AC9" s="96" t="s">
        <v>40</v>
      </c>
    </row>
    <row r="10" spans="1:29" s="12" customFormat="1" ht="49.5" hidden="1" customHeight="1" x14ac:dyDescent="0.25">
      <c r="A10" s="22" t="s">
        <v>5</v>
      </c>
      <c r="B10" s="22" t="s">
        <v>6</v>
      </c>
      <c r="C10" s="22" t="s">
        <v>7</v>
      </c>
      <c r="D10" s="22" t="s">
        <v>8</v>
      </c>
      <c r="E10" s="22" t="s">
        <v>9</v>
      </c>
      <c r="F10" s="23" t="s">
        <v>5</v>
      </c>
      <c r="G10" s="24" t="s">
        <v>10</v>
      </c>
      <c r="H10" s="25"/>
      <c r="I10" s="97" t="s">
        <v>11</v>
      </c>
      <c r="J10" s="97" t="s">
        <v>12</v>
      </c>
      <c r="K10" s="97" t="s">
        <v>13</v>
      </c>
      <c r="L10" s="97" t="s">
        <v>24</v>
      </c>
      <c r="M10" s="97" t="s">
        <v>25</v>
      </c>
      <c r="N10" s="97" t="s">
        <v>26</v>
      </c>
      <c r="O10" s="97" t="s">
        <v>27</v>
      </c>
      <c r="P10" s="97" t="s">
        <v>28</v>
      </c>
      <c r="Q10" s="97" t="s">
        <v>29</v>
      </c>
      <c r="R10" s="98" t="s">
        <v>47</v>
      </c>
      <c r="S10" s="99" t="s">
        <v>14</v>
      </c>
      <c r="T10" s="99" t="s">
        <v>31</v>
      </c>
      <c r="U10" s="99" t="s">
        <v>15</v>
      </c>
      <c r="V10" s="99" t="s">
        <v>16</v>
      </c>
      <c r="W10" s="99"/>
      <c r="X10" s="99" t="s">
        <v>17</v>
      </c>
      <c r="Y10" s="99" t="s">
        <v>18</v>
      </c>
      <c r="Z10" s="99" t="s">
        <v>19</v>
      </c>
      <c r="AA10" s="99" t="s">
        <v>20</v>
      </c>
      <c r="AB10" s="99" t="s">
        <v>21</v>
      </c>
      <c r="AC10" s="96"/>
    </row>
    <row r="11" spans="1:29" s="16" customFormat="1" ht="77.25" hidden="1" customHeight="1" x14ac:dyDescent="0.2">
      <c r="A11" s="29"/>
      <c r="B11" s="30"/>
      <c r="C11" s="30"/>
      <c r="D11" s="30"/>
      <c r="E11" s="27"/>
      <c r="F11" s="29"/>
      <c r="G11" s="27"/>
      <c r="H11" s="27"/>
      <c r="I11" s="100">
        <v>7</v>
      </c>
      <c r="J11" s="101" t="s">
        <v>41</v>
      </c>
      <c r="K11" s="101" t="s">
        <v>42</v>
      </c>
      <c r="L11" s="100">
        <v>1</v>
      </c>
      <c r="M11" s="100">
        <v>0</v>
      </c>
      <c r="N11" s="100">
        <v>1</v>
      </c>
      <c r="O11" s="100">
        <v>0</v>
      </c>
      <c r="P11" s="102">
        <f>SUM(L11:O11)</f>
        <v>2</v>
      </c>
      <c r="Q11" s="103" t="s">
        <v>22</v>
      </c>
      <c r="R11" s="103" t="s">
        <v>30</v>
      </c>
      <c r="S11" s="102">
        <v>1</v>
      </c>
      <c r="T11" s="103" t="s">
        <v>41</v>
      </c>
      <c r="U11" s="103" t="s">
        <v>44</v>
      </c>
      <c r="V11" s="104">
        <v>1</v>
      </c>
      <c r="W11" s="104"/>
      <c r="X11" s="105">
        <f>SUM(Y11:AB11)</f>
        <v>0</v>
      </c>
      <c r="Y11" s="106">
        <v>0</v>
      </c>
      <c r="Z11" s="106"/>
      <c r="AA11" s="107"/>
      <c r="AB11" s="107"/>
      <c r="AC11" s="106">
        <v>0</v>
      </c>
    </row>
    <row r="12" spans="1:29" ht="27" customHeight="1" x14ac:dyDescent="0.3">
      <c r="A12" s="18"/>
      <c r="B12" s="19"/>
      <c r="C12" s="19"/>
      <c r="D12" s="19"/>
      <c r="E12" s="19"/>
      <c r="F12" s="20"/>
      <c r="G12" s="19"/>
      <c r="H12" s="19"/>
      <c r="I12" s="605" t="s">
        <v>36</v>
      </c>
      <c r="J12" s="605"/>
      <c r="K12" s="605"/>
      <c r="L12" s="605"/>
      <c r="M12" s="605"/>
      <c r="N12" s="605"/>
      <c r="O12" s="605"/>
      <c r="P12" s="605"/>
      <c r="Q12" s="605"/>
      <c r="R12" s="605"/>
      <c r="S12" s="605"/>
      <c r="T12" s="605"/>
      <c r="U12" s="605"/>
      <c r="V12" s="605"/>
      <c r="W12" s="605"/>
      <c r="X12" s="605"/>
      <c r="Y12" s="605"/>
      <c r="Z12" s="605"/>
      <c r="AA12" s="605"/>
      <c r="AB12" s="605"/>
      <c r="AC12" s="605"/>
    </row>
    <row r="13" spans="1:29" ht="35.25" customHeight="1" x14ac:dyDescent="0.3">
      <c r="A13" s="18"/>
      <c r="B13" s="19"/>
      <c r="C13" s="19"/>
      <c r="D13" s="19"/>
      <c r="E13" s="19"/>
      <c r="F13" s="20"/>
      <c r="G13" s="19"/>
      <c r="H13" s="19"/>
      <c r="I13" s="599" t="s">
        <v>3</v>
      </c>
      <c r="J13" s="599"/>
      <c r="K13" s="599"/>
      <c r="L13" s="599"/>
      <c r="M13" s="599"/>
      <c r="N13" s="599"/>
      <c r="O13" s="599"/>
      <c r="P13" s="599"/>
      <c r="Q13" s="599"/>
      <c r="R13" s="599" t="s">
        <v>72</v>
      </c>
      <c r="S13" s="599"/>
      <c r="T13" s="599"/>
      <c r="U13" s="599"/>
      <c r="V13" s="599"/>
      <c r="W13" s="599"/>
      <c r="X13" s="606" t="s">
        <v>4</v>
      </c>
      <c r="Y13" s="606"/>
      <c r="Z13" s="606"/>
      <c r="AA13" s="606"/>
      <c r="AB13" s="606"/>
      <c r="AC13" s="607" t="s">
        <v>40</v>
      </c>
    </row>
    <row r="14" spans="1:29" s="12" customFormat="1" ht="64.5" customHeight="1" x14ac:dyDescent="0.25">
      <c r="A14" s="22" t="s">
        <v>5</v>
      </c>
      <c r="B14" s="22" t="s">
        <v>6</v>
      </c>
      <c r="C14" s="22" t="s">
        <v>7</v>
      </c>
      <c r="D14" s="22" t="s">
        <v>8</v>
      </c>
      <c r="E14" s="22" t="s">
        <v>9</v>
      </c>
      <c r="F14" s="23" t="s">
        <v>5</v>
      </c>
      <c r="G14" s="24" t="s">
        <v>10</v>
      </c>
      <c r="H14" s="48"/>
      <c r="I14" s="108" t="s">
        <v>51</v>
      </c>
      <c r="J14" s="108" t="s">
        <v>12</v>
      </c>
      <c r="K14" s="108" t="s">
        <v>52</v>
      </c>
      <c r="L14" s="108" t="s">
        <v>24</v>
      </c>
      <c r="M14" s="108" t="s">
        <v>25</v>
      </c>
      <c r="N14" s="108" t="s">
        <v>26</v>
      </c>
      <c r="O14" s="108" t="s">
        <v>27</v>
      </c>
      <c r="P14" s="108" t="s">
        <v>28</v>
      </c>
      <c r="Q14" s="108" t="s">
        <v>29</v>
      </c>
      <c r="R14" s="108" t="s">
        <v>47</v>
      </c>
      <c r="S14" s="109" t="s">
        <v>14</v>
      </c>
      <c r="T14" s="109" t="s">
        <v>79</v>
      </c>
      <c r="U14" s="109" t="s">
        <v>15</v>
      </c>
      <c r="V14" s="109" t="s">
        <v>16</v>
      </c>
      <c r="W14" s="108" t="s">
        <v>48</v>
      </c>
      <c r="X14" s="109" t="s">
        <v>17</v>
      </c>
      <c r="Y14" s="109" t="s">
        <v>18</v>
      </c>
      <c r="Z14" s="109" t="s">
        <v>19</v>
      </c>
      <c r="AA14" s="197" t="s">
        <v>361</v>
      </c>
      <c r="AB14" s="109" t="s">
        <v>21</v>
      </c>
      <c r="AC14" s="607"/>
    </row>
    <row r="15" spans="1:29" s="16" customFormat="1" ht="79.5" customHeight="1" x14ac:dyDescent="0.2">
      <c r="A15" s="29"/>
      <c r="B15" s="30"/>
      <c r="C15" s="30"/>
      <c r="D15" s="30"/>
      <c r="E15" s="27"/>
      <c r="F15" s="29"/>
      <c r="G15" s="27"/>
      <c r="H15" s="32"/>
      <c r="I15" s="600" t="s">
        <v>43</v>
      </c>
      <c r="J15" s="620" t="s">
        <v>50</v>
      </c>
      <c r="K15" s="620" t="s">
        <v>71</v>
      </c>
      <c r="L15" s="623">
        <v>3</v>
      </c>
      <c r="M15" s="621">
        <v>3</v>
      </c>
      <c r="N15" s="621">
        <v>3</v>
      </c>
      <c r="O15" s="621">
        <v>3</v>
      </c>
      <c r="P15" s="610">
        <f>SUM(L15:O15)</f>
        <v>12</v>
      </c>
      <c r="Q15" s="604" t="s">
        <v>22</v>
      </c>
      <c r="R15" s="601" t="s">
        <v>30</v>
      </c>
      <c r="S15" s="308">
        <v>1</v>
      </c>
      <c r="T15" s="103" t="s">
        <v>92</v>
      </c>
      <c r="U15" s="111" t="s">
        <v>93</v>
      </c>
      <c r="V15" s="113">
        <v>1</v>
      </c>
      <c r="W15" s="114" t="s">
        <v>74</v>
      </c>
      <c r="X15" s="115">
        <f>+Y15+Z15+AA15</f>
        <v>57001591</v>
      </c>
      <c r="Y15" s="106">
        <f>75000000-17998409</f>
        <v>57001591</v>
      </c>
      <c r="Z15" s="106">
        <v>0</v>
      </c>
      <c r="AA15" s="106">
        <v>0</v>
      </c>
      <c r="AB15" s="107"/>
      <c r="AC15" s="106">
        <v>0</v>
      </c>
    </row>
    <row r="16" spans="1:29" s="16" customFormat="1" ht="163.5" customHeight="1" x14ac:dyDescent="0.2">
      <c r="A16" s="29"/>
      <c r="B16" s="30"/>
      <c r="C16" s="30"/>
      <c r="D16" s="30"/>
      <c r="E16" s="27"/>
      <c r="F16" s="29"/>
      <c r="G16" s="27"/>
      <c r="H16" s="32"/>
      <c r="I16" s="600"/>
      <c r="J16" s="620"/>
      <c r="K16" s="620"/>
      <c r="L16" s="623"/>
      <c r="M16" s="621"/>
      <c r="N16" s="621"/>
      <c r="O16" s="621"/>
      <c r="P16" s="610"/>
      <c r="Q16" s="604"/>
      <c r="R16" s="601"/>
      <c r="S16" s="308">
        <v>2</v>
      </c>
      <c r="T16" s="103" t="s">
        <v>100</v>
      </c>
      <c r="U16" s="111" t="s">
        <v>94</v>
      </c>
      <c r="V16" s="113">
        <v>12</v>
      </c>
      <c r="W16" s="114" t="s">
        <v>80</v>
      </c>
      <c r="X16" s="115">
        <f>+Y16+Z16+AA16</f>
        <v>48000000</v>
      </c>
      <c r="Y16" s="106">
        <v>48000000</v>
      </c>
      <c r="Z16" s="106">
        <v>0</v>
      </c>
      <c r="AA16" s="106">
        <v>0</v>
      </c>
      <c r="AB16" s="107"/>
      <c r="AC16" s="106">
        <v>0</v>
      </c>
    </row>
    <row r="17" spans="1:29" s="16" customFormat="1" ht="122.25" customHeight="1" x14ac:dyDescent="0.2">
      <c r="A17" s="29"/>
      <c r="B17" s="30"/>
      <c r="C17" s="30"/>
      <c r="D17" s="30"/>
      <c r="E17" s="27"/>
      <c r="F17" s="29"/>
      <c r="G17" s="27"/>
      <c r="H17" s="32"/>
      <c r="I17" s="600"/>
      <c r="J17" s="620"/>
      <c r="K17" s="620"/>
      <c r="L17" s="623"/>
      <c r="M17" s="621"/>
      <c r="N17" s="621"/>
      <c r="O17" s="621"/>
      <c r="P17" s="610"/>
      <c r="Q17" s="604"/>
      <c r="R17" s="601"/>
      <c r="S17" s="308">
        <v>3</v>
      </c>
      <c r="T17" s="103" t="s">
        <v>95</v>
      </c>
      <c r="U17" s="103" t="s">
        <v>101</v>
      </c>
      <c r="V17" s="113">
        <v>1</v>
      </c>
      <c r="W17" s="114" t="s">
        <v>74</v>
      </c>
      <c r="X17" s="115">
        <f>Y17+Z17+AA17</f>
        <v>30000000</v>
      </c>
      <c r="Y17" s="106">
        <v>30000000</v>
      </c>
      <c r="Z17" s="106">
        <v>0</v>
      </c>
      <c r="AA17" s="106">
        <v>0</v>
      </c>
      <c r="AB17" s="107"/>
      <c r="AC17" s="106">
        <v>0</v>
      </c>
    </row>
    <row r="18" spans="1:29" s="16" customFormat="1" ht="91.5" customHeight="1" x14ac:dyDescent="0.2">
      <c r="A18" s="29"/>
      <c r="B18" s="30"/>
      <c r="C18" s="30"/>
      <c r="D18" s="30"/>
      <c r="E18" s="27"/>
      <c r="F18" s="29"/>
      <c r="G18" s="27"/>
      <c r="H18" s="32"/>
      <c r="I18" s="600"/>
      <c r="J18" s="620"/>
      <c r="K18" s="620"/>
      <c r="L18" s="623"/>
      <c r="M18" s="621"/>
      <c r="N18" s="621"/>
      <c r="O18" s="621"/>
      <c r="P18" s="610"/>
      <c r="Q18" s="604"/>
      <c r="R18" s="601"/>
      <c r="S18" s="308">
        <v>4</v>
      </c>
      <c r="T18" s="103" t="s">
        <v>97</v>
      </c>
      <c r="U18" s="103" t="s">
        <v>101</v>
      </c>
      <c r="V18" s="113">
        <v>1</v>
      </c>
      <c r="W18" s="114" t="s">
        <v>80</v>
      </c>
      <c r="X18" s="115">
        <f>Y18+Z18+AA18</f>
        <v>72700000</v>
      </c>
      <c r="Y18" s="106">
        <f>80500000-17800000+10000000</f>
        <v>72700000</v>
      </c>
      <c r="Z18" s="106">
        <v>0</v>
      </c>
      <c r="AA18" s="106">
        <v>0</v>
      </c>
      <c r="AB18" s="107"/>
      <c r="AC18" s="106">
        <v>0</v>
      </c>
    </row>
    <row r="19" spans="1:29" s="16" customFormat="1" ht="105.75" customHeight="1" x14ac:dyDescent="0.2">
      <c r="A19" s="29"/>
      <c r="B19" s="30"/>
      <c r="C19" s="30"/>
      <c r="D19" s="30"/>
      <c r="E19" s="27"/>
      <c r="F19" s="29"/>
      <c r="G19" s="27"/>
      <c r="H19" s="32"/>
      <c r="I19" s="600"/>
      <c r="J19" s="620"/>
      <c r="K19" s="620"/>
      <c r="L19" s="623"/>
      <c r="M19" s="621"/>
      <c r="N19" s="621"/>
      <c r="O19" s="621"/>
      <c r="P19" s="610"/>
      <c r="Q19" s="604"/>
      <c r="R19" s="601"/>
      <c r="S19" s="308">
        <v>5</v>
      </c>
      <c r="T19" s="103" t="s">
        <v>96</v>
      </c>
      <c r="U19" s="103" t="s">
        <v>101</v>
      </c>
      <c r="V19" s="113">
        <v>1</v>
      </c>
      <c r="W19" s="114" t="s">
        <v>80</v>
      </c>
      <c r="X19" s="115">
        <f>Y19+Z19+AA19</f>
        <v>30000000</v>
      </c>
      <c r="Y19" s="106">
        <v>30000000</v>
      </c>
      <c r="Z19" s="106">
        <v>0</v>
      </c>
      <c r="AA19" s="106">
        <v>0</v>
      </c>
      <c r="AB19" s="107"/>
      <c r="AC19" s="106">
        <v>0</v>
      </c>
    </row>
    <row r="20" spans="1:29" s="16" customFormat="1" ht="37.5" customHeight="1" x14ac:dyDescent="0.2">
      <c r="A20" s="29"/>
      <c r="B20" s="30"/>
      <c r="C20" s="30"/>
      <c r="D20" s="30"/>
      <c r="E20" s="27"/>
      <c r="F20" s="29"/>
      <c r="G20" s="27"/>
      <c r="H20" s="49"/>
      <c r="I20" s="622" t="s">
        <v>64</v>
      </c>
      <c r="J20" s="622"/>
      <c r="K20" s="622"/>
      <c r="L20" s="622"/>
      <c r="M20" s="622"/>
      <c r="N20" s="622"/>
      <c r="O20" s="622"/>
      <c r="P20" s="622"/>
      <c r="Q20" s="622"/>
      <c r="R20" s="622"/>
      <c r="S20" s="622"/>
      <c r="T20" s="622"/>
      <c r="U20" s="622"/>
      <c r="V20" s="622"/>
      <c r="W20" s="622"/>
      <c r="X20" s="622"/>
      <c r="Y20" s="622"/>
      <c r="Z20" s="622"/>
      <c r="AA20" s="622"/>
      <c r="AB20" s="622"/>
      <c r="AC20" s="91"/>
    </row>
    <row r="21" spans="1:29" ht="20.25" customHeight="1" x14ac:dyDescent="0.3">
      <c r="A21" s="18"/>
      <c r="B21" s="19"/>
      <c r="C21" s="19"/>
      <c r="D21" s="19"/>
      <c r="E21" s="19"/>
      <c r="F21" s="20"/>
      <c r="G21" s="19"/>
      <c r="H21" s="50"/>
      <c r="I21" s="622" t="s">
        <v>60</v>
      </c>
      <c r="J21" s="622"/>
      <c r="K21" s="622"/>
      <c r="L21" s="622"/>
      <c r="M21" s="622"/>
      <c r="N21" s="622"/>
      <c r="O21" s="622"/>
      <c r="P21" s="622"/>
      <c r="Q21" s="622"/>
      <c r="R21" s="622"/>
      <c r="S21" s="622"/>
      <c r="T21" s="622"/>
      <c r="U21" s="622"/>
      <c r="V21" s="622"/>
      <c r="W21" s="622"/>
      <c r="X21" s="622"/>
      <c r="Y21" s="622"/>
      <c r="Z21" s="622"/>
      <c r="AA21" s="622"/>
      <c r="AB21" s="622"/>
      <c r="AC21" s="622"/>
    </row>
    <row r="22" spans="1:29" ht="20.25" customHeight="1" x14ac:dyDescent="0.3">
      <c r="A22" s="18"/>
      <c r="B22" s="19"/>
      <c r="C22" s="19"/>
      <c r="D22" s="19"/>
      <c r="E22" s="19"/>
      <c r="F22" s="20"/>
      <c r="G22" s="19"/>
      <c r="H22" s="50"/>
      <c r="I22" s="622" t="s">
        <v>37</v>
      </c>
      <c r="J22" s="622"/>
      <c r="K22" s="622"/>
      <c r="L22" s="622"/>
      <c r="M22" s="622"/>
      <c r="N22" s="622"/>
      <c r="O22" s="622"/>
      <c r="P22" s="622"/>
      <c r="Q22" s="622"/>
      <c r="R22" s="622"/>
      <c r="S22" s="622"/>
      <c r="T22" s="622"/>
      <c r="U22" s="622"/>
      <c r="V22" s="622"/>
      <c r="W22" s="622"/>
      <c r="X22" s="622"/>
      <c r="Y22" s="622"/>
      <c r="Z22" s="622"/>
      <c r="AA22" s="622"/>
      <c r="AB22" s="622"/>
      <c r="AC22" s="622"/>
    </row>
    <row r="23" spans="1:29" ht="20.25" customHeight="1" x14ac:dyDescent="0.3">
      <c r="A23" s="18"/>
      <c r="B23" s="19"/>
      <c r="C23" s="19"/>
      <c r="D23" s="19"/>
      <c r="E23" s="19"/>
      <c r="F23" s="20"/>
      <c r="G23" s="19"/>
      <c r="H23" s="50"/>
      <c r="I23" s="599" t="s">
        <v>3</v>
      </c>
      <c r="J23" s="599"/>
      <c r="K23" s="599"/>
      <c r="L23" s="599"/>
      <c r="M23" s="599"/>
      <c r="N23" s="599"/>
      <c r="O23" s="599"/>
      <c r="P23" s="599"/>
      <c r="Q23" s="599"/>
      <c r="R23" s="599" t="s">
        <v>72</v>
      </c>
      <c r="S23" s="599"/>
      <c r="T23" s="599"/>
      <c r="U23" s="599"/>
      <c r="V23" s="599"/>
      <c r="W23" s="599"/>
      <c r="X23" s="606" t="s">
        <v>4</v>
      </c>
      <c r="Y23" s="606"/>
      <c r="Z23" s="606"/>
      <c r="AA23" s="606"/>
      <c r="AB23" s="606"/>
      <c r="AC23" s="607" t="s">
        <v>40</v>
      </c>
    </row>
    <row r="24" spans="1:29" ht="78.75" customHeight="1" x14ac:dyDescent="0.3">
      <c r="A24" s="18"/>
      <c r="B24" s="19"/>
      <c r="C24" s="19"/>
      <c r="D24" s="19"/>
      <c r="E24" s="19"/>
      <c r="F24" s="20"/>
      <c r="G24" s="19"/>
      <c r="H24" s="51"/>
      <c r="I24" s="108" t="s">
        <v>61</v>
      </c>
      <c r="J24" s="108" t="s">
        <v>12</v>
      </c>
      <c r="K24" s="108" t="s">
        <v>62</v>
      </c>
      <c r="L24" s="108" t="s">
        <v>24</v>
      </c>
      <c r="M24" s="108" t="s">
        <v>25</v>
      </c>
      <c r="N24" s="108" t="s">
        <v>26</v>
      </c>
      <c r="O24" s="108" t="s">
        <v>27</v>
      </c>
      <c r="P24" s="108" t="s">
        <v>28</v>
      </c>
      <c r="Q24" s="108" t="s">
        <v>63</v>
      </c>
      <c r="R24" s="108" t="s">
        <v>47</v>
      </c>
      <c r="S24" s="109" t="s">
        <v>14</v>
      </c>
      <c r="T24" s="109" t="s">
        <v>79</v>
      </c>
      <c r="U24" s="109" t="s">
        <v>15</v>
      </c>
      <c r="V24" s="109" t="s">
        <v>16</v>
      </c>
      <c r="W24" s="108" t="s">
        <v>48</v>
      </c>
      <c r="X24" s="109" t="s">
        <v>17</v>
      </c>
      <c r="Y24" s="109" t="s">
        <v>18</v>
      </c>
      <c r="Z24" s="109" t="s">
        <v>19</v>
      </c>
      <c r="AA24" s="109" t="s">
        <v>20</v>
      </c>
      <c r="AB24" s="116"/>
      <c r="AC24" s="607"/>
    </row>
    <row r="25" spans="1:29" ht="173.25" customHeight="1" x14ac:dyDescent="0.3">
      <c r="A25" s="18"/>
      <c r="B25" s="19"/>
      <c r="C25" s="19"/>
      <c r="D25" s="19"/>
      <c r="E25" s="19"/>
      <c r="F25" s="20"/>
      <c r="G25" s="19"/>
      <c r="H25" s="28"/>
      <c r="I25" s="110" t="s">
        <v>81</v>
      </c>
      <c r="J25" s="101" t="s">
        <v>82</v>
      </c>
      <c r="K25" s="101" t="s">
        <v>82</v>
      </c>
      <c r="L25" s="117">
        <v>0</v>
      </c>
      <c r="M25" s="117">
        <v>1</v>
      </c>
      <c r="N25" s="117">
        <v>2</v>
      </c>
      <c r="O25" s="117">
        <v>3</v>
      </c>
      <c r="P25" s="102">
        <v>6</v>
      </c>
      <c r="Q25" s="111" t="s">
        <v>22</v>
      </c>
      <c r="R25" s="112" t="s">
        <v>30</v>
      </c>
      <c r="S25" s="118">
        <v>6</v>
      </c>
      <c r="T25" s="212" t="s">
        <v>380</v>
      </c>
      <c r="U25" s="103" t="s">
        <v>102</v>
      </c>
      <c r="V25" s="113">
        <v>1</v>
      </c>
      <c r="W25" s="114" t="s">
        <v>73</v>
      </c>
      <c r="X25" s="105">
        <f>Y25+Z25+AA25</f>
        <v>210000000</v>
      </c>
      <c r="Y25" s="106">
        <v>210000000</v>
      </c>
      <c r="Z25" s="106">
        <v>0</v>
      </c>
      <c r="AA25" s="106">
        <v>0</v>
      </c>
      <c r="AB25" s="107"/>
      <c r="AC25" s="106">
        <v>0</v>
      </c>
    </row>
    <row r="26" spans="1:29" ht="35.25" customHeight="1" x14ac:dyDescent="0.3">
      <c r="A26" s="18"/>
      <c r="B26" s="19"/>
      <c r="C26" s="19"/>
      <c r="D26" s="19"/>
      <c r="E26" s="19"/>
      <c r="F26" s="20"/>
      <c r="G26" s="19"/>
      <c r="H26" s="28"/>
      <c r="I26" s="605" t="s">
        <v>64</v>
      </c>
      <c r="J26" s="605"/>
      <c r="K26" s="605"/>
      <c r="L26" s="605"/>
      <c r="M26" s="605"/>
      <c r="N26" s="605"/>
      <c r="O26" s="605"/>
      <c r="P26" s="605"/>
      <c r="Q26" s="605"/>
      <c r="R26" s="605"/>
      <c r="S26" s="605"/>
      <c r="T26" s="605"/>
      <c r="U26" s="605"/>
      <c r="V26" s="605"/>
      <c r="W26" s="605"/>
      <c r="X26" s="605"/>
      <c r="Y26" s="605"/>
      <c r="Z26" s="605"/>
      <c r="AA26" s="605"/>
      <c r="AB26" s="605"/>
      <c r="AC26" s="605"/>
    </row>
    <row r="27" spans="1:29" ht="29.25" customHeight="1" x14ac:dyDescent="0.3">
      <c r="A27" s="18"/>
      <c r="B27" s="19"/>
      <c r="C27" s="19"/>
      <c r="D27" s="19"/>
      <c r="E27" s="19"/>
      <c r="F27" s="20"/>
      <c r="G27" s="19"/>
      <c r="H27" s="28"/>
      <c r="I27" s="605" t="s">
        <v>65</v>
      </c>
      <c r="J27" s="605"/>
      <c r="K27" s="605"/>
      <c r="L27" s="605"/>
      <c r="M27" s="605"/>
      <c r="N27" s="605"/>
      <c r="O27" s="605"/>
      <c r="P27" s="605"/>
      <c r="Q27" s="605"/>
      <c r="R27" s="605"/>
      <c r="S27" s="605"/>
      <c r="T27" s="605"/>
      <c r="U27" s="605"/>
      <c r="V27" s="605"/>
      <c r="W27" s="605"/>
      <c r="X27" s="605"/>
      <c r="Y27" s="605"/>
      <c r="Z27" s="605"/>
      <c r="AA27" s="605"/>
      <c r="AB27" s="605"/>
      <c r="AC27" s="605"/>
    </row>
    <row r="28" spans="1:29" ht="20.25" customHeight="1" x14ac:dyDescent="0.3">
      <c r="A28" s="18"/>
      <c r="B28" s="19"/>
      <c r="C28" s="19"/>
      <c r="D28" s="19"/>
      <c r="E28" s="19"/>
      <c r="F28" s="20"/>
      <c r="G28" s="19"/>
      <c r="H28" s="28"/>
      <c r="I28" s="605" t="s">
        <v>66</v>
      </c>
      <c r="J28" s="605"/>
      <c r="K28" s="605"/>
      <c r="L28" s="605"/>
      <c r="M28" s="605"/>
      <c r="N28" s="605"/>
      <c r="O28" s="605"/>
      <c r="P28" s="605"/>
      <c r="Q28" s="605"/>
      <c r="R28" s="605"/>
      <c r="S28" s="605"/>
      <c r="T28" s="605"/>
      <c r="U28" s="605"/>
      <c r="V28" s="605"/>
      <c r="W28" s="605"/>
      <c r="X28" s="605"/>
      <c r="Y28" s="605"/>
      <c r="Z28" s="605"/>
      <c r="AA28" s="605"/>
      <c r="AB28" s="605"/>
      <c r="AC28" s="605"/>
    </row>
    <row r="29" spans="1:29" ht="20.25" customHeight="1" x14ac:dyDescent="0.3">
      <c r="A29" s="18"/>
      <c r="B29" s="19"/>
      <c r="C29" s="19"/>
      <c r="D29" s="19"/>
      <c r="E29" s="19"/>
      <c r="F29" s="20"/>
      <c r="G29" s="19"/>
      <c r="H29" s="28"/>
      <c r="I29" s="599" t="s">
        <v>3</v>
      </c>
      <c r="J29" s="599"/>
      <c r="K29" s="599"/>
      <c r="L29" s="599"/>
      <c r="M29" s="599"/>
      <c r="N29" s="599"/>
      <c r="O29" s="599"/>
      <c r="P29" s="599"/>
      <c r="Q29" s="599"/>
      <c r="R29" s="119"/>
      <c r="S29" s="599" t="s">
        <v>72</v>
      </c>
      <c r="T29" s="599"/>
      <c r="U29" s="599"/>
      <c r="V29" s="599"/>
      <c r="W29" s="599"/>
      <c r="X29" s="606" t="s">
        <v>4</v>
      </c>
      <c r="Y29" s="606"/>
      <c r="Z29" s="606"/>
      <c r="AA29" s="606"/>
      <c r="AB29" s="606"/>
      <c r="AC29" s="607" t="s">
        <v>40</v>
      </c>
    </row>
    <row r="30" spans="1:29" s="12" customFormat="1" ht="56.25" customHeight="1" x14ac:dyDescent="0.25">
      <c r="A30" s="22" t="s">
        <v>5</v>
      </c>
      <c r="B30" s="22" t="s">
        <v>6</v>
      </c>
      <c r="C30" s="22" t="s">
        <v>7</v>
      </c>
      <c r="D30" s="22" t="s">
        <v>8</v>
      </c>
      <c r="E30" s="22" t="s">
        <v>9</v>
      </c>
      <c r="F30" s="23" t="s">
        <v>5</v>
      </c>
      <c r="G30" s="24" t="s">
        <v>10</v>
      </c>
      <c r="H30" s="25"/>
      <c r="I30" s="108" t="s">
        <v>51</v>
      </c>
      <c r="J30" s="108" t="s">
        <v>12</v>
      </c>
      <c r="K30" s="108" t="s">
        <v>52</v>
      </c>
      <c r="L30" s="108" t="s">
        <v>24</v>
      </c>
      <c r="M30" s="108" t="s">
        <v>25</v>
      </c>
      <c r="N30" s="108" t="s">
        <v>26</v>
      </c>
      <c r="O30" s="108" t="s">
        <v>27</v>
      </c>
      <c r="P30" s="108" t="s">
        <v>28</v>
      </c>
      <c r="Q30" s="108" t="s">
        <v>29</v>
      </c>
      <c r="R30" s="108" t="s">
        <v>47</v>
      </c>
      <c r="S30" s="109" t="s">
        <v>14</v>
      </c>
      <c r="T30" s="109" t="s">
        <v>79</v>
      </c>
      <c r="U30" s="109" t="s">
        <v>15</v>
      </c>
      <c r="V30" s="109" t="s">
        <v>16</v>
      </c>
      <c r="W30" s="108" t="s">
        <v>48</v>
      </c>
      <c r="X30" s="109" t="s">
        <v>17</v>
      </c>
      <c r="Y30" s="109" t="s">
        <v>18</v>
      </c>
      <c r="Z30" s="109" t="s">
        <v>19</v>
      </c>
      <c r="AA30" s="109" t="s">
        <v>20</v>
      </c>
      <c r="AB30" s="109" t="s">
        <v>21</v>
      </c>
      <c r="AC30" s="607"/>
    </row>
    <row r="31" spans="1:29" s="15" customFormat="1" ht="144.75" customHeight="1" x14ac:dyDescent="0.25">
      <c r="A31" s="33">
        <v>28</v>
      </c>
      <c r="B31" s="34" t="s">
        <v>83</v>
      </c>
      <c r="C31" s="34" t="s">
        <v>84</v>
      </c>
      <c r="D31" s="35" t="s">
        <v>85</v>
      </c>
      <c r="E31" s="36" t="s">
        <v>86</v>
      </c>
      <c r="F31" s="33">
        <v>11</v>
      </c>
      <c r="G31" s="37" t="s">
        <v>87</v>
      </c>
      <c r="H31" s="27"/>
      <c r="I31" s="120" t="s">
        <v>88</v>
      </c>
      <c r="J31" s="101" t="s">
        <v>89</v>
      </c>
      <c r="K31" s="121" t="s">
        <v>90</v>
      </c>
      <c r="L31" s="293">
        <v>12000</v>
      </c>
      <c r="M31" s="117">
        <v>12000</v>
      </c>
      <c r="N31" s="117">
        <v>12000</v>
      </c>
      <c r="O31" s="117">
        <v>12000</v>
      </c>
      <c r="P31" s="102">
        <v>12000</v>
      </c>
      <c r="Q31" s="103" t="s">
        <v>22</v>
      </c>
      <c r="R31" s="103" t="s">
        <v>30</v>
      </c>
      <c r="S31" s="308">
        <v>7</v>
      </c>
      <c r="T31" s="121" t="s">
        <v>98</v>
      </c>
      <c r="U31" s="121" t="s">
        <v>103</v>
      </c>
      <c r="V31" s="113">
        <v>12000</v>
      </c>
      <c r="W31" s="121" t="s">
        <v>91</v>
      </c>
      <c r="X31" s="122">
        <f>Y31+Z31+AA31</f>
        <v>164500000</v>
      </c>
      <c r="Y31" s="123">
        <f>74500000+90000000</f>
        <v>164500000</v>
      </c>
      <c r="Z31" s="124">
        <v>0</v>
      </c>
      <c r="AA31" s="124">
        <v>0</v>
      </c>
      <c r="AB31" s="123"/>
      <c r="AC31" s="123">
        <v>47383335</v>
      </c>
    </row>
    <row r="32" spans="1:29" s="15" customFormat="1" ht="144" x14ac:dyDescent="0.25">
      <c r="A32" s="29"/>
      <c r="B32" s="30"/>
      <c r="C32" s="30"/>
      <c r="D32" s="27"/>
      <c r="E32" s="27"/>
      <c r="F32" s="29"/>
      <c r="G32" s="27"/>
      <c r="H32" s="27"/>
      <c r="I32" s="120" t="s">
        <v>58</v>
      </c>
      <c r="J32" s="101" t="s">
        <v>59</v>
      </c>
      <c r="K32" s="121" t="s">
        <v>68</v>
      </c>
      <c r="L32" s="117">
        <v>0</v>
      </c>
      <c r="M32" s="117">
        <v>2</v>
      </c>
      <c r="N32" s="117">
        <v>6</v>
      </c>
      <c r="O32" s="117">
        <v>12</v>
      </c>
      <c r="P32" s="102">
        <f>SUM(L32:O32)</f>
        <v>20</v>
      </c>
      <c r="Q32" s="103" t="s">
        <v>22</v>
      </c>
      <c r="R32" s="103" t="s">
        <v>30</v>
      </c>
      <c r="S32" s="102">
        <v>8</v>
      </c>
      <c r="T32" s="121" t="s">
        <v>77</v>
      </c>
      <c r="U32" s="121" t="s">
        <v>68</v>
      </c>
      <c r="V32" s="113">
        <v>2</v>
      </c>
      <c r="W32" s="121" t="s">
        <v>78</v>
      </c>
      <c r="X32" s="125">
        <f>Y32+Z32+AA32</f>
        <v>0</v>
      </c>
      <c r="Y32" s="124">
        <v>0</v>
      </c>
      <c r="Z32" s="124">
        <v>0</v>
      </c>
      <c r="AA32" s="124">
        <v>0</v>
      </c>
      <c r="AB32" s="123"/>
      <c r="AC32" s="124">
        <v>0</v>
      </c>
    </row>
    <row r="33" spans="1:34" ht="32.25" customHeight="1" x14ac:dyDescent="0.3">
      <c r="A33" s="18"/>
      <c r="B33" s="19"/>
      <c r="C33" s="19"/>
      <c r="D33" s="19"/>
      <c r="E33" s="19"/>
      <c r="F33" s="20"/>
      <c r="G33" s="19"/>
      <c r="H33" s="19"/>
      <c r="I33" s="605" t="s">
        <v>38</v>
      </c>
      <c r="J33" s="605"/>
      <c r="K33" s="605"/>
      <c r="L33" s="605"/>
      <c r="M33" s="605"/>
      <c r="N33" s="605"/>
      <c r="O33" s="605"/>
      <c r="P33" s="605"/>
      <c r="Q33" s="605"/>
      <c r="R33" s="605"/>
      <c r="S33" s="605"/>
      <c r="T33" s="605"/>
      <c r="U33" s="605"/>
      <c r="V33" s="605"/>
      <c r="W33" s="605"/>
      <c r="X33" s="605"/>
      <c r="Y33" s="605"/>
      <c r="Z33" s="605"/>
      <c r="AA33" s="605"/>
      <c r="AB33" s="605"/>
      <c r="AC33" s="605"/>
    </row>
    <row r="34" spans="1:34" ht="28.5" customHeight="1" x14ac:dyDescent="0.3">
      <c r="A34" s="18"/>
      <c r="B34" s="19"/>
      <c r="C34" s="19"/>
      <c r="D34" s="19"/>
      <c r="E34" s="19"/>
      <c r="F34" s="20"/>
      <c r="G34" s="19"/>
      <c r="H34" s="19"/>
      <c r="I34" s="599" t="s">
        <v>3</v>
      </c>
      <c r="J34" s="599"/>
      <c r="K34" s="599"/>
      <c r="L34" s="599"/>
      <c r="M34" s="599"/>
      <c r="N34" s="599"/>
      <c r="O34" s="599"/>
      <c r="P34" s="599"/>
      <c r="Q34" s="599"/>
      <c r="R34" s="119"/>
      <c r="S34" s="599" t="s">
        <v>72</v>
      </c>
      <c r="T34" s="599"/>
      <c r="U34" s="599"/>
      <c r="V34" s="599"/>
      <c r="W34" s="599"/>
      <c r="X34" s="606" t="s">
        <v>4</v>
      </c>
      <c r="Y34" s="606"/>
      <c r="Z34" s="606"/>
      <c r="AA34" s="606"/>
      <c r="AB34" s="606"/>
      <c r="AC34" s="607" t="s">
        <v>40</v>
      </c>
    </row>
    <row r="35" spans="1:34" s="12" customFormat="1" ht="88.5" customHeight="1" x14ac:dyDescent="0.25">
      <c r="A35" s="22" t="s">
        <v>5</v>
      </c>
      <c r="B35" s="22" t="s">
        <v>6</v>
      </c>
      <c r="C35" s="22" t="s">
        <v>7</v>
      </c>
      <c r="D35" s="22" t="s">
        <v>8</v>
      </c>
      <c r="E35" s="22" t="s">
        <v>9</v>
      </c>
      <c r="F35" s="23" t="s">
        <v>5</v>
      </c>
      <c r="G35" s="24" t="s">
        <v>10</v>
      </c>
      <c r="H35" s="25"/>
      <c r="I35" s="108" t="s">
        <v>51</v>
      </c>
      <c r="J35" s="108" t="s">
        <v>12</v>
      </c>
      <c r="K35" s="108" t="s">
        <v>52</v>
      </c>
      <c r="L35" s="108" t="s">
        <v>24</v>
      </c>
      <c r="M35" s="108" t="s">
        <v>25</v>
      </c>
      <c r="N35" s="108" t="s">
        <v>26</v>
      </c>
      <c r="O35" s="108" t="s">
        <v>27</v>
      </c>
      <c r="P35" s="108" t="s">
        <v>28</v>
      </c>
      <c r="Q35" s="108" t="s">
        <v>29</v>
      </c>
      <c r="R35" s="108" t="s">
        <v>47</v>
      </c>
      <c r="S35" s="109" t="s">
        <v>14</v>
      </c>
      <c r="T35" s="109" t="s">
        <v>79</v>
      </c>
      <c r="U35" s="109" t="s">
        <v>15</v>
      </c>
      <c r="V35" s="109" t="s">
        <v>16</v>
      </c>
      <c r="W35" s="108" t="s">
        <v>48</v>
      </c>
      <c r="X35" s="109" t="s">
        <v>17</v>
      </c>
      <c r="Y35" s="109" t="s">
        <v>18</v>
      </c>
      <c r="Z35" s="109" t="s">
        <v>19</v>
      </c>
      <c r="AA35" s="109" t="s">
        <v>20</v>
      </c>
      <c r="AB35" s="109" t="s">
        <v>21</v>
      </c>
      <c r="AC35" s="607"/>
    </row>
    <row r="36" spans="1:34" s="15" customFormat="1" ht="90" customHeight="1" x14ac:dyDescent="0.25">
      <c r="A36" s="29"/>
      <c r="B36" s="30"/>
      <c r="C36" s="30"/>
      <c r="D36" s="27"/>
      <c r="E36" s="27"/>
      <c r="F36" s="29"/>
      <c r="G36" s="27"/>
      <c r="H36" s="27"/>
      <c r="I36" s="600" t="s">
        <v>33</v>
      </c>
      <c r="J36" s="601" t="s">
        <v>57</v>
      </c>
      <c r="K36" s="601" t="s">
        <v>69</v>
      </c>
      <c r="L36" s="602">
        <v>180</v>
      </c>
      <c r="M36" s="603">
        <v>200</v>
      </c>
      <c r="N36" s="603">
        <v>220</v>
      </c>
      <c r="O36" s="603">
        <v>250</v>
      </c>
      <c r="P36" s="610">
        <f>+O36</f>
        <v>250</v>
      </c>
      <c r="Q36" s="604" t="s">
        <v>22</v>
      </c>
      <c r="R36" s="601" t="s">
        <v>30</v>
      </c>
      <c r="S36" s="612">
        <v>9</v>
      </c>
      <c r="T36" s="608" t="s">
        <v>367</v>
      </c>
      <c r="U36" s="101" t="s">
        <v>362</v>
      </c>
      <c r="V36" s="113">
        <f>M36</f>
        <v>200</v>
      </c>
      <c r="W36" s="616" t="s">
        <v>75</v>
      </c>
      <c r="X36" s="613">
        <f>Y36+Z36+AA36</f>
        <v>2886983533</v>
      </c>
      <c r="Y36" s="614">
        <f>290000000-10000000</f>
        <v>280000000</v>
      </c>
      <c r="Z36" s="614">
        <f>2672603475-65619942</f>
        <v>2606983533</v>
      </c>
      <c r="AA36" s="611">
        <v>0</v>
      </c>
      <c r="AB36" s="106"/>
      <c r="AC36" s="611">
        <v>0</v>
      </c>
      <c r="AD36" s="39"/>
      <c r="AF36" s="17"/>
    </row>
    <row r="37" spans="1:34" s="15" customFormat="1" ht="60.75" customHeight="1" x14ac:dyDescent="0.25">
      <c r="A37" s="29"/>
      <c r="B37" s="30"/>
      <c r="C37" s="30"/>
      <c r="D37" s="27"/>
      <c r="E37" s="27"/>
      <c r="F37" s="29"/>
      <c r="G37" s="27"/>
      <c r="H37" s="27"/>
      <c r="I37" s="600"/>
      <c r="J37" s="601"/>
      <c r="K37" s="601"/>
      <c r="L37" s="602"/>
      <c r="M37" s="603"/>
      <c r="N37" s="603"/>
      <c r="O37" s="603"/>
      <c r="P37" s="610"/>
      <c r="Q37" s="604"/>
      <c r="R37" s="601"/>
      <c r="S37" s="612"/>
      <c r="T37" s="609"/>
      <c r="U37" s="121" t="s">
        <v>99</v>
      </c>
      <c r="V37" s="113">
        <v>200</v>
      </c>
      <c r="W37" s="616"/>
      <c r="X37" s="613"/>
      <c r="Y37" s="615"/>
      <c r="Z37" s="615"/>
      <c r="AA37" s="611"/>
      <c r="AB37" s="106"/>
      <c r="AC37" s="611"/>
      <c r="AF37" s="17"/>
    </row>
    <row r="38" spans="1:34" s="15" customFormat="1" ht="32.25" customHeight="1" x14ac:dyDescent="0.25">
      <c r="A38" s="29"/>
      <c r="B38" s="30"/>
      <c r="C38" s="30"/>
      <c r="D38" s="27"/>
      <c r="E38" s="27"/>
      <c r="F38" s="29"/>
      <c r="G38" s="27"/>
      <c r="H38" s="27"/>
      <c r="I38" s="605" t="s">
        <v>67</v>
      </c>
      <c r="J38" s="605"/>
      <c r="K38" s="605"/>
      <c r="L38" s="605"/>
      <c r="M38" s="605"/>
      <c r="N38" s="605"/>
      <c r="O38" s="605"/>
      <c r="P38" s="605"/>
      <c r="Q38" s="605"/>
      <c r="R38" s="605"/>
      <c r="S38" s="605"/>
      <c r="T38" s="605"/>
      <c r="U38" s="605"/>
      <c r="V38" s="605"/>
      <c r="W38" s="605"/>
      <c r="X38" s="605"/>
      <c r="Y38" s="605"/>
      <c r="Z38" s="605"/>
      <c r="AA38" s="605"/>
      <c r="AB38" s="605"/>
      <c r="AC38" s="605"/>
      <c r="AF38" s="17"/>
    </row>
    <row r="39" spans="1:34" ht="32.25" customHeight="1" x14ac:dyDescent="0.3">
      <c r="A39" s="18"/>
      <c r="B39" s="19"/>
      <c r="C39" s="19"/>
      <c r="D39" s="19"/>
      <c r="E39" s="19"/>
      <c r="F39" s="20"/>
      <c r="G39" s="19"/>
      <c r="H39" s="19"/>
      <c r="I39" s="605" t="s">
        <v>46</v>
      </c>
      <c r="J39" s="605"/>
      <c r="K39" s="605"/>
      <c r="L39" s="605"/>
      <c r="M39" s="605"/>
      <c r="N39" s="605"/>
      <c r="O39" s="605"/>
      <c r="P39" s="605"/>
      <c r="Q39" s="605"/>
      <c r="R39" s="605"/>
      <c r="S39" s="605"/>
      <c r="T39" s="605"/>
      <c r="U39" s="605"/>
      <c r="V39" s="605"/>
      <c r="W39" s="605"/>
      <c r="X39" s="605"/>
      <c r="Y39" s="605"/>
      <c r="Z39" s="605"/>
      <c r="AA39" s="605"/>
      <c r="AB39" s="605"/>
      <c r="AC39" s="605"/>
    </row>
    <row r="40" spans="1:34" ht="33" customHeight="1" x14ac:dyDescent="0.3">
      <c r="A40" s="18"/>
      <c r="B40" s="19"/>
      <c r="C40" s="19"/>
      <c r="D40" s="19"/>
      <c r="E40" s="19"/>
      <c r="F40" s="20"/>
      <c r="G40" s="19"/>
      <c r="H40" s="19"/>
      <c r="I40" s="605" t="s">
        <v>39</v>
      </c>
      <c r="J40" s="605"/>
      <c r="K40" s="605"/>
      <c r="L40" s="605"/>
      <c r="M40" s="605"/>
      <c r="N40" s="605"/>
      <c r="O40" s="605"/>
      <c r="P40" s="605"/>
      <c r="Q40" s="605"/>
      <c r="R40" s="605"/>
      <c r="S40" s="605"/>
      <c r="T40" s="605"/>
      <c r="U40" s="605"/>
      <c r="V40" s="605"/>
      <c r="W40" s="605"/>
      <c r="X40" s="605"/>
      <c r="Y40" s="605"/>
      <c r="Z40" s="605"/>
      <c r="AA40" s="605"/>
      <c r="AB40" s="605"/>
      <c r="AC40" s="605"/>
    </row>
    <row r="41" spans="1:34" ht="20.25" customHeight="1" x14ac:dyDescent="0.3">
      <c r="A41" s="18"/>
      <c r="B41" s="19"/>
      <c r="C41" s="19"/>
      <c r="D41" s="19"/>
      <c r="E41" s="19"/>
      <c r="F41" s="20"/>
      <c r="G41" s="19"/>
      <c r="H41" s="19"/>
      <c r="I41" s="599" t="s">
        <v>3</v>
      </c>
      <c r="J41" s="599"/>
      <c r="K41" s="599"/>
      <c r="L41" s="599"/>
      <c r="M41" s="599"/>
      <c r="N41" s="599"/>
      <c r="O41" s="599"/>
      <c r="P41" s="599"/>
      <c r="Q41" s="599"/>
      <c r="R41" s="119"/>
      <c r="S41" s="599" t="s">
        <v>72</v>
      </c>
      <c r="T41" s="599"/>
      <c r="U41" s="599"/>
      <c r="V41" s="599"/>
      <c r="W41" s="599"/>
      <c r="X41" s="606" t="s">
        <v>4</v>
      </c>
      <c r="Y41" s="606"/>
      <c r="Z41" s="606"/>
      <c r="AA41" s="606"/>
      <c r="AB41" s="606"/>
      <c r="AC41" s="607" t="s">
        <v>40</v>
      </c>
    </row>
    <row r="42" spans="1:34" s="12" customFormat="1" ht="66.75" customHeight="1" x14ac:dyDescent="0.25">
      <c r="A42" s="22" t="s">
        <v>5</v>
      </c>
      <c r="B42" s="22" t="s">
        <v>6</v>
      </c>
      <c r="C42" s="22" t="s">
        <v>7</v>
      </c>
      <c r="D42" s="22" t="s">
        <v>8</v>
      </c>
      <c r="E42" s="22" t="s">
        <v>9</v>
      </c>
      <c r="F42" s="23" t="s">
        <v>5</v>
      </c>
      <c r="G42" s="24" t="s">
        <v>10</v>
      </c>
      <c r="H42" s="25"/>
      <c r="I42" s="108" t="s">
        <v>51</v>
      </c>
      <c r="J42" s="108" t="s">
        <v>12</v>
      </c>
      <c r="K42" s="108" t="s">
        <v>52</v>
      </c>
      <c r="L42" s="108" t="s">
        <v>24</v>
      </c>
      <c r="M42" s="108" t="s">
        <v>25</v>
      </c>
      <c r="N42" s="108" t="s">
        <v>26</v>
      </c>
      <c r="O42" s="108" t="s">
        <v>27</v>
      </c>
      <c r="P42" s="108" t="s">
        <v>28</v>
      </c>
      <c r="Q42" s="108" t="s">
        <v>29</v>
      </c>
      <c r="R42" s="108" t="s">
        <v>47</v>
      </c>
      <c r="S42" s="109" t="s">
        <v>14</v>
      </c>
      <c r="T42" s="109" t="s">
        <v>79</v>
      </c>
      <c r="U42" s="109" t="s">
        <v>15</v>
      </c>
      <c r="V42" s="109" t="s">
        <v>16</v>
      </c>
      <c r="W42" s="108" t="s">
        <v>48</v>
      </c>
      <c r="X42" s="109" t="s">
        <v>17</v>
      </c>
      <c r="Y42" s="109" t="s">
        <v>18</v>
      </c>
      <c r="Z42" s="109" t="s">
        <v>19</v>
      </c>
      <c r="AA42" s="109" t="s">
        <v>20</v>
      </c>
      <c r="AB42" s="109" t="s">
        <v>21</v>
      </c>
      <c r="AC42" s="607"/>
    </row>
    <row r="43" spans="1:34" s="14" customFormat="1" ht="86.25" customHeight="1" x14ac:dyDescent="0.45">
      <c r="A43" s="26"/>
      <c r="B43" s="21"/>
      <c r="C43" s="21"/>
      <c r="D43" s="21"/>
      <c r="E43" s="21"/>
      <c r="F43" s="26"/>
      <c r="G43" s="21"/>
      <c r="H43" s="21"/>
      <c r="I43" s="600" t="s">
        <v>54</v>
      </c>
      <c r="J43" s="103" t="s">
        <v>45</v>
      </c>
      <c r="K43" s="103" t="s">
        <v>70</v>
      </c>
      <c r="L43" s="117">
        <v>5</v>
      </c>
      <c r="M43" s="117">
        <v>10</v>
      </c>
      <c r="N43" s="117">
        <v>1</v>
      </c>
      <c r="O43" s="117">
        <v>0</v>
      </c>
      <c r="P43" s="102">
        <f>SUM(L43:O43)</f>
        <v>16</v>
      </c>
      <c r="Q43" s="103" t="s">
        <v>22</v>
      </c>
      <c r="R43" s="126" t="s">
        <v>30</v>
      </c>
      <c r="S43" s="102">
        <v>10</v>
      </c>
      <c r="T43" s="126" t="s">
        <v>104</v>
      </c>
      <c r="U43" s="126" t="s">
        <v>105</v>
      </c>
      <c r="V43" s="127">
        <v>10</v>
      </c>
      <c r="W43" s="128" t="s">
        <v>76</v>
      </c>
      <c r="X43" s="125">
        <f>Y43+Z43+AA43</f>
        <v>0</v>
      </c>
      <c r="Y43" s="124">
        <v>0</v>
      </c>
      <c r="Z43" s="124">
        <v>0</v>
      </c>
      <c r="AA43" s="124">
        <v>0</v>
      </c>
      <c r="AB43" s="106"/>
      <c r="AC43" s="124">
        <v>0</v>
      </c>
      <c r="AH43" s="189"/>
    </row>
    <row r="44" spans="1:34" s="14" customFormat="1" ht="161.25" customHeight="1" x14ac:dyDescent="0.3">
      <c r="A44" s="26"/>
      <c r="B44" s="21"/>
      <c r="C44" s="21"/>
      <c r="D44" s="21"/>
      <c r="E44" s="21"/>
      <c r="F44" s="26"/>
      <c r="G44" s="21"/>
      <c r="H44" s="21"/>
      <c r="I44" s="600"/>
      <c r="J44" s="103" t="s">
        <v>55</v>
      </c>
      <c r="K44" s="103" t="s">
        <v>56</v>
      </c>
      <c r="L44" s="117">
        <v>0</v>
      </c>
      <c r="M44" s="117">
        <v>2</v>
      </c>
      <c r="N44" s="117">
        <v>2</v>
      </c>
      <c r="O44" s="117">
        <v>2</v>
      </c>
      <c r="P44" s="102">
        <f>SUM(L44:O44)</f>
        <v>6</v>
      </c>
      <c r="Q44" s="103" t="s">
        <v>22</v>
      </c>
      <c r="R44" s="126" t="s">
        <v>30</v>
      </c>
      <c r="S44" s="102">
        <v>11</v>
      </c>
      <c r="T44" s="126" t="s">
        <v>106</v>
      </c>
      <c r="U44" s="126" t="s">
        <v>105</v>
      </c>
      <c r="V44" s="127">
        <v>2</v>
      </c>
      <c r="W44" s="128" t="s">
        <v>76</v>
      </c>
      <c r="X44" s="125">
        <f>Y44+Z44+AA44</f>
        <v>0</v>
      </c>
      <c r="Y44" s="124">
        <v>0</v>
      </c>
      <c r="Z44" s="124">
        <v>0</v>
      </c>
      <c r="AA44" s="124">
        <v>0</v>
      </c>
      <c r="AB44" s="106"/>
      <c r="AC44" s="124">
        <v>0</v>
      </c>
    </row>
    <row r="45" spans="1:34" ht="36.75" customHeight="1" x14ac:dyDescent="0.35">
      <c r="I45" s="598" t="s">
        <v>53</v>
      </c>
      <c r="J45" s="598"/>
      <c r="K45" s="598"/>
      <c r="L45" s="598"/>
      <c r="M45" s="598"/>
      <c r="N45" s="598"/>
      <c r="O45" s="598"/>
      <c r="P45" s="598"/>
      <c r="Q45" s="598"/>
      <c r="R45" s="598"/>
      <c r="S45" s="598"/>
      <c r="T45" s="598"/>
      <c r="U45" s="598"/>
      <c r="V45" s="598"/>
      <c r="W45" s="598"/>
      <c r="X45" s="52">
        <f>Y45+Z45+AA45</f>
        <v>3499185124</v>
      </c>
      <c r="Y45" s="52">
        <f>SUBTOTAL(9,Y11:Y44)</f>
        <v>892201591</v>
      </c>
      <c r="Z45" s="52">
        <f>SUBTOTAL(9,Z1:Z44)</f>
        <v>2606983533</v>
      </c>
      <c r="AA45" s="177">
        <f>SUBTOTAL(9,AA11:AA44)</f>
        <v>0</v>
      </c>
      <c r="AB45" s="52">
        <f>SUBTOTAL(9,AB11:AB43)</f>
        <v>0</v>
      </c>
      <c r="AC45" s="52">
        <f>SUBTOTAL(9,AC11:AC44)</f>
        <v>47383335</v>
      </c>
    </row>
    <row r="49" spans="9:26" s="9" customFormat="1" ht="23.25" x14ac:dyDescent="0.25">
      <c r="I49" s="294" t="s">
        <v>393</v>
      </c>
      <c r="X49" s="38"/>
      <c r="Y49" s="38"/>
      <c r="Z49" s="52"/>
    </row>
    <row r="52" spans="9:26" s="9" customFormat="1" ht="60" customHeight="1" x14ac:dyDescent="0.2"/>
  </sheetData>
  <dataConsolidate/>
  <mergeCells count="66">
    <mergeCell ref="I12:AC12"/>
    <mergeCell ref="J15:J19"/>
    <mergeCell ref="N15:N19"/>
    <mergeCell ref="X13:AB13"/>
    <mergeCell ref="I26:AC26"/>
    <mergeCell ref="O15:O19"/>
    <mergeCell ref="I22:AC22"/>
    <mergeCell ref="AC23:AC24"/>
    <mergeCell ref="I21:AC21"/>
    <mergeCell ref="K15:K19"/>
    <mergeCell ref="L15:L19"/>
    <mergeCell ref="M15:M19"/>
    <mergeCell ref="I20:AB20"/>
    <mergeCell ref="I15:I19"/>
    <mergeCell ref="AC13:AC14"/>
    <mergeCell ref="R13:W13"/>
    <mergeCell ref="U2:AC2"/>
    <mergeCell ref="U3:AC3"/>
    <mergeCell ref="U4:AC4"/>
    <mergeCell ref="I7:AC7"/>
    <mergeCell ref="I6:AB6"/>
    <mergeCell ref="P15:P19"/>
    <mergeCell ref="Q15:Q19"/>
    <mergeCell ref="R15:R19"/>
    <mergeCell ref="I13:Q13"/>
    <mergeCell ref="S29:W29"/>
    <mergeCell ref="I29:Q29"/>
    <mergeCell ref="I28:AC28"/>
    <mergeCell ref="I23:Q23"/>
    <mergeCell ref="X23:AB23"/>
    <mergeCell ref="R23:W23"/>
    <mergeCell ref="AC29:AC30"/>
    <mergeCell ref="X29:AB29"/>
    <mergeCell ref="I27:AC27"/>
    <mergeCell ref="AC36:AC37"/>
    <mergeCell ref="S36:S37"/>
    <mergeCell ref="X36:X37"/>
    <mergeCell ref="Y36:Y37"/>
    <mergeCell ref="Z36:Z37"/>
    <mergeCell ref="AA36:AA37"/>
    <mergeCell ref="W36:W37"/>
    <mergeCell ref="I33:AC33"/>
    <mergeCell ref="X34:AB34"/>
    <mergeCell ref="X41:AB41"/>
    <mergeCell ref="AC41:AC42"/>
    <mergeCell ref="I36:I37"/>
    <mergeCell ref="S41:W41"/>
    <mergeCell ref="AC34:AC35"/>
    <mergeCell ref="I34:Q34"/>
    <mergeCell ref="T36:T37"/>
    <mergeCell ref="S34:W34"/>
    <mergeCell ref="I39:AC39"/>
    <mergeCell ref="I40:AC40"/>
    <mergeCell ref="P36:P37"/>
    <mergeCell ref="O36:O37"/>
    <mergeCell ref="N36:N37"/>
    <mergeCell ref="I38:AC38"/>
    <mergeCell ref="I45:W45"/>
    <mergeCell ref="I41:Q41"/>
    <mergeCell ref="I43:I44"/>
    <mergeCell ref="J36:J37"/>
    <mergeCell ref="K36:K37"/>
    <mergeCell ref="L36:L37"/>
    <mergeCell ref="M36:M37"/>
    <mergeCell ref="R36:R37"/>
    <mergeCell ref="Q36:Q37"/>
  </mergeCells>
  <conditionalFormatting sqref="L32:O32">
    <cfRule type="expression" dxfId="151" priority="142" stopIfTrue="1">
      <formula>+IF((#REF!+#REF!+#REF!+#REF!+#REF!)&lt;&gt;$L32,1,0)</formula>
    </cfRule>
  </conditionalFormatting>
  <conditionalFormatting sqref="J11:K11 J15:K18 J32:K32 W32 AB32">
    <cfRule type="expression" dxfId="150" priority="131" stopIfTrue="1">
      <formula>+IF((#REF!+#REF!+#REF!+#REF!+#REF!)&lt;&gt;$M11,1,0)</formula>
    </cfRule>
  </conditionalFormatting>
  <conditionalFormatting sqref="L43:O44">
    <cfRule type="expression" dxfId="149" priority="118" stopIfTrue="1">
      <formula>+IF((#REF!+#REF!+#REF!+#REF!+#REF!)&lt;&gt;$L43,1,0)</formula>
    </cfRule>
  </conditionalFormatting>
  <conditionalFormatting sqref="L15:O18">
    <cfRule type="expression" dxfId="148" priority="78" stopIfTrue="1">
      <formula>+IF((#REF!+#REF!+#REF!+#REF!+#REF!)&lt;&gt;$L15,1,0)</formula>
    </cfRule>
  </conditionalFormatting>
  <conditionalFormatting sqref="J11">
    <cfRule type="expression" dxfId="147" priority="77" stopIfTrue="1">
      <formula>+IF((#REF!+#REF!+#REF!+#REF!+#REF!)&lt;&gt;$M11,1,0)</formula>
    </cfRule>
  </conditionalFormatting>
  <conditionalFormatting sqref="K11">
    <cfRule type="expression" dxfId="146" priority="76" stopIfTrue="1">
      <formula>+IF((#REF!+#REF!+#REF!+#REF!+#REF!)&lt;&gt;$M11,1,0)</formula>
    </cfRule>
  </conditionalFormatting>
  <conditionalFormatting sqref="L32:O32">
    <cfRule type="expression" dxfId="145" priority="75" stopIfTrue="1">
      <formula>+IF((#REF!+#REF!+#REF!+#REF!+#REF!)&lt;&gt;$L32,1,0)</formula>
    </cfRule>
  </conditionalFormatting>
  <conditionalFormatting sqref="J32">
    <cfRule type="expression" dxfId="144" priority="73" stopIfTrue="1">
      <formula>+IF((#REF!+#REF!+#REF!+#REF!+#REF!)&lt;&gt;$M32,1,0)</formula>
    </cfRule>
  </conditionalFormatting>
  <conditionalFormatting sqref="K32 W32 AB32">
    <cfRule type="expression" dxfId="143" priority="72" stopIfTrue="1">
      <formula>+IF((#REF!+#REF!+#REF!+#REF!+#REF!)&lt;&gt;$M32,1,0)</formula>
    </cfRule>
  </conditionalFormatting>
  <conditionalFormatting sqref="L43:O44">
    <cfRule type="expression" dxfId="142" priority="63" stopIfTrue="1">
      <formula>+IF((#REF!+#REF!+#REF!+#REF!+#REF!)&lt;&gt;$L43,1,0)</formula>
    </cfRule>
  </conditionalFormatting>
  <conditionalFormatting sqref="L24:O24">
    <cfRule type="expression" dxfId="141" priority="52" stopIfTrue="1">
      <formula>+IF((#REF!+#REF!+#REF!+#REF!+#REF!)&lt;&gt;$L24,1,0)</formula>
    </cfRule>
  </conditionalFormatting>
  <conditionalFormatting sqref="J24:K24">
    <cfRule type="expression" dxfId="140" priority="51" stopIfTrue="1">
      <formula>+IF((#REF!+#REF!+#REF!+#REF!+#REF!)&lt;&gt;$M24,1,0)</formula>
    </cfRule>
  </conditionalFormatting>
  <conditionalFormatting sqref="L24:O24">
    <cfRule type="expression" dxfId="139" priority="50" stopIfTrue="1">
      <formula>+IF((#REF!+#REF!+#REF!+#REF!+#REF!)&lt;&gt;$L24,1,0)</formula>
    </cfRule>
  </conditionalFormatting>
  <conditionalFormatting sqref="J24">
    <cfRule type="expression" dxfId="138" priority="49" stopIfTrue="1">
      <formula>+IF((#REF!+#REF!+#REF!+#REF!+#REF!)&lt;&gt;$M24,1,0)</formula>
    </cfRule>
  </conditionalFormatting>
  <conditionalFormatting sqref="K24">
    <cfRule type="expression" dxfId="137" priority="48" stopIfTrue="1">
      <formula>+IF((#REF!+#REF!+#REF!+#REF!+#REF!)&lt;&gt;$M24,1,0)</formula>
    </cfRule>
  </conditionalFormatting>
  <conditionalFormatting sqref="U36">
    <cfRule type="expression" dxfId="136" priority="35" stopIfTrue="1">
      <formula>+IF((#REF!+#REF!+#REF!+#REF!+#REF!)&lt;&gt;$M36,1,0)</formula>
    </cfRule>
  </conditionalFormatting>
  <conditionalFormatting sqref="V36:W36">
    <cfRule type="expression" dxfId="135" priority="37" stopIfTrue="1">
      <formula>+IF((#REF!+#REF!+#REF!+#REF!+#REF!)&lt;&gt;$L36,1,0)</formula>
    </cfRule>
  </conditionalFormatting>
  <conditionalFormatting sqref="V36:W36">
    <cfRule type="expression" dxfId="134" priority="36" stopIfTrue="1">
      <formula>+IF((#REF!+#REF!+#REF!+#REF!+#REF!)&lt;&gt;$L36,1,0)</formula>
    </cfRule>
  </conditionalFormatting>
  <conditionalFormatting sqref="U36">
    <cfRule type="expression" dxfId="133" priority="34" stopIfTrue="1">
      <formula>+IF((#REF!+#REF!+#REF!+#REF!+#REF!)&lt;&gt;$M36,1,0)</formula>
    </cfRule>
  </conditionalFormatting>
  <conditionalFormatting sqref="T32">
    <cfRule type="expression" dxfId="132" priority="33" stopIfTrue="1">
      <formula>+IF((#REF!+#REF!+#REF!+#REF!+#REF!)&lt;&gt;$M32,1,0)</formula>
    </cfRule>
  </conditionalFormatting>
  <conditionalFormatting sqref="T32">
    <cfRule type="expression" dxfId="131" priority="32" stopIfTrue="1">
      <formula>+IF((#REF!+#REF!+#REF!+#REF!+#REF!)&lt;&gt;$M32,1,0)</formula>
    </cfRule>
  </conditionalFormatting>
  <conditionalFormatting sqref="U32">
    <cfRule type="expression" dxfId="130" priority="31" stopIfTrue="1">
      <formula>+IF((#REF!+#REF!+#REF!+#REF!+#REF!)&lt;&gt;$M32,1,0)</formula>
    </cfRule>
  </conditionalFormatting>
  <conditionalFormatting sqref="U32">
    <cfRule type="expression" dxfId="129" priority="30" stopIfTrue="1">
      <formula>+IF((#REF!+#REF!+#REF!+#REF!+#REF!)&lt;&gt;$M32,1,0)</formula>
    </cfRule>
  </conditionalFormatting>
  <conditionalFormatting sqref="L31:O31">
    <cfRule type="expression" dxfId="128" priority="21" stopIfTrue="1">
      <formula>+IF((#REF!+#REF!+#REF!+#REF!+#REF!)&lt;&gt;$L31,1,0)</formula>
    </cfRule>
  </conditionalFormatting>
  <conditionalFormatting sqref="J31:K31">
    <cfRule type="expression" dxfId="127" priority="20" stopIfTrue="1">
      <formula>+IF((#REF!+#REF!+#REF!+#REF!+#REF!)&lt;&gt;$M31,1,0)</formula>
    </cfRule>
  </conditionalFormatting>
  <conditionalFormatting sqref="L31:O31">
    <cfRule type="expression" dxfId="126" priority="19" stopIfTrue="1">
      <formula>+IF((#REF!+#REF!+#REF!+#REF!+#REF!)&lt;&gt;$L31,1,0)</formula>
    </cfRule>
  </conditionalFormatting>
  <conditionalFormatting sqref="J31">
    <cfRule type="expression" dxfId="125" priority="18" stopIfTrue="1">
      <formula>+IF((#REF!+#REF!+#REF!+#REF!+#REF!)&lt;&gt;$M31,1,0)</formula>
    </cfRule>
  </conditionalFormatting>
  <conditionalFormatting sqref="K31">
    <cfRule type="expression" dxfId="124" priority="17" stopIfTrue="1">
      <formula>+IF((#REF!+#REF!+#REF!+#REF!+#REF!)&lt;&gt;$M31,1,0)</formula>
    </cfRule>
  </conditionalFormatting>
  <conditionalFormatting sqref="T31:U31 AB31 W31:X31">
    <cfRule type="expression" dxfId="123" priority="16" stopIfTrue="1">
      <formula>+IF((#REF!+#REF!+#REF!+#REF!+#REF!)&lt;&gt;$M31,1,0)</formula>
    </cfRule>
  </conditionalFormatting>
  <conditionalFormatting sqref="T31:U31 AB31 W31:X31">
    <cfRule type="expression" dxfId="122" priority="15" stopIfTrue="1">
      <formula>+IF((#REF!+#REF!+#REF!+#REF!+#REF!)&lt;&gt;$M31,1,0)</formula>
    </cfRule>
  </conditionalFormatting>
  <conditionalFormatting sqref="AC31">
    <cfRule type="expression" dxfId="121" priority="12" stopIfTrue="1">
      <formula>+IF((#REF!+#REF!+#REF!+#REF!+#REF!)&lt;&gt;$M31,1,0)</formula>
    </cfRule>
  </conditionalFormatting>
  <conditionalFormatting sqref="AC31">
    <cfRule type="expression" dxfId="120" priority="11" stopIfTrue="1">
      <formula>+IF((#REF!+#REF!+#REF!+#REF!+#REF!)&lt;&gt;$M31,1,0)</formula>
    </cfRule>
  </conditionalFormatting>
  <conditionalFormatting sqref="Y31">
    <cfRule type="expression" dxfId="119" priority="10" stopIfTrue="1">
      <formula>+IF((#REF!+#REF!+#REF!+#REF!+#REF!)&lt;&gt;$M31,1,0)</formula>
    </cfRule>
  </conditionalFormatting>
  <conditionalFormatting sqref="Y31">
    <cfRule type="expression" dxfId="118" priority="9" stopIfTrue="1">
      <formula>+IF((#REF!+#REF!+#REF!+#REF!+#REF!)&lt;&gt;$M31,1,0)</formula>
    </cfRule>
  </conditionalFormatting>
  <conditionalFormatting sqref="L36:O36">
    <cfRule type="expression" dxfId="117" priority="8" stopIfTrue="1">
      <formula>+IF((#REF!+#REF!+#REF!+#REF!+#REF!)&lt;&gt;$L36,1,0)</formula>
    </cfRule>
  </conditionalFormatting>
  <conditionalFormatting sqref="L36:O36 V37">
    <cfRule type="expression" dxfId="116" priority="7" stopIfTrue="1">
      <formula>+IF((#REF!+#REF!+#REF!+#REF!+#REF!)&lt;&gt;$L36,1,0)</formula>
    </cfRule>
  </conditionalFormatting>
  <conditionalFormatting sqref="V37">
    <cfRule type="expression" dxfId="115" priority="5" stopIfTrue="1">
      <formula>+IF((#REF!+#REF!+#REF!+#REF!+#REF!)&lt;&gt;$L37,1,0)</formula>
    </cfRule>
  </conditionalFormatting>
  <conditionalFormatting sqref="U37">
    <cfRule type="expression" dxfId="114" priority="4" stopIfTrue="1">
      <formula>+IF((#REF!+#REF!+#REF!+#REF!+#REF!)&lt;&gt;$M37,1,0)</formula>
    </cfRule>
  </conditionalFormatting>
  <conditionalFormatting sqref="U37">
    <cfRule type="expression" dxfId="113" priority="3" stopIfTrue="1">
      <formula>+IF((#REF!+#REF!+#REF!+#REF!+#REF!)&lt;&gt;$M37,1,0)</formula>
    </cfRule>
  </conditionalFormatting>
  <dataValidations count="1">
    <dataValidation type="list" allowBlank="1" showInputMessage="1" showErrorMessage="1" sqref="Q43:R44 Q31:R32 Q11:R11 Q15:R18 Q36:R36 Q38:R38">
      <formula1>#REF!</formula1>
    </dataValidation>
  </dataValidations>
  <pageMargins left="0.7" right="0.7" top="0.75" bottom="0.75" header="0.3" footer="0.3"/>
  <pageSetup scale="31" orientation="landscape" r:id="rId1"/>
  <ignoredErrors>
    <ignoredError sqref="X15:X19 X25 X32 X36:Z36 X43:X44"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H52"/>
  <sheetViews>
    <sheetView topLeftCell="Z30" zoomScale="80" zoomScaleNormal="80" zoomScalePageLayoutView="70" workbookViewId="0">
      <selection activeCell="AC31" sqref="AC31"/>
    </sheetView>
  </sheetViews>
  <sheetFormatPr baseColWidth="10" defaultColWidth="11.42578125"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33" style="2" customWidth="1"/>
    <col min="10" max="10" width="30.140625" style="4" customWidth="1"/>
    <col min="11" max="11" width="22.140625" style="5" customWidth="1"/>
    <col min="12" max="15" width="9.5703125" style="6" customWidth="1"/>
    <col min="16" max="16" width="8.28515625" style="7" customWidth="1"/>
    <col min="17" max="17" width="22" style="8" customWidth="1"/>
    <col min="18" max="18" width="28" style="8" customWidth="1"/>
    <col min="19" max="19" width="7.140625" style="6" customWidth="1"/>
    <col min="20" max="20" width="69.140625" style="9" customWidth="1"/>
    <col min="21" max="21" width="15.28515625" style="9" customWidth="1"/>
    <col min="22" max="22" width="11" style="9" customWidth="1"/>
    <col min="23" max="23" width="40.28515625" style="9" customWidth="1"/>
    <col min="24" max="24" width="22.28515625" style="9" customWidth="1"/>
    <col min="25" max="25" width="20.140625" style="9" customWidth="1"/>
    <col min="26" max="26" width="21.42578125" style="9" customWidth="1"/>
    <col min="27" max="27" width="17.28515625" style="9" customWidth="1"/>
    <col min="28" max="28" width="17.28515625" style="9" hidden="1" customWidth="1"/>
    <col min="29" max="29" width="20.85546875" style="9" customWidth="1"/>
    <col min="30" max="30" width="81.140625" style="9" customWidth="1"/>
    <col min="31" max="32" width="60.7109375" style="9" customWidth="1"/>
    <col min="33" max="33" width="70.7109375" style="9" customWidth="1"/>
    <col min="34" max="34" width="35.42578125" style="9" customWidth="1"/>
    <col min="35" max="16384" width="11.42578125" style="9"/>
  </cols>
  <sheetData>
    <row r="2" spans="1:34" ht="36" customHeight="1" x14ac:dyDescent="0.2">
      <c r="Q2" s="178"/>
      <c r="U2" s="617" t="s">
        <v>0</v>
      </c>
      <c r="V2" s="617"/>
      <c r="W2" s="617"/>
      <c r="X2" s="617"/>
      <c r="Y2" s="617"/>
      <c r="Z2" s="617"/>
      <c r="AA2" s="617"/>
      <c r="AB2" s="617"/>
      <c r="AC2" s="617"/>
    </row>
    <row r="3" spans="1:34" ht="23.25" customHeight="1" x14ac:dyDescent="0.25">
      <c r="A3" s="10" t="s">
        <v>1</v>
      </c>
      <c r="F3" s="2"/>
      <c r="J3" s="8"/>
      <c r="K3" s="8"/>
      <c r="M3" s="11"/>
      <c r="Q3" s="31"/>
      <c r="T3" s="6"/>
      <c r="U3" s="618" t="s">
        <v>49</v>
      </c>
      <c r="V3" s="618"/>
      <c r="W3" s="618"/>
      <c r="X3" s="618"/>
      <c r="Y3" s="618"/>
      <c r="Z3" s="618"/>
      <c r="AA3" s="618"/>
      <c r="AB3" s="618"/>
      <c r="AC3" s="618"/>
    </row>
    <row r="4" spans="1:34" ht="23.25" customHeight="1" x14ac:dyDescent="0.25">
      <c r="A4" s="10"/>
      <c r="F4" s="2"/>
      <c r="I4" s="13"/>
      <c r="J4" s="13"/>
      <c r="K4" s="13"/>
      <c r="L4" s="13"/>
      <c r="M4" s="13"/>
      <c r="N4" s="13"/>
      <c r="O4" s="13"/>
      <c r="P4" s="13"/>
      <c r="Q4" s="13"/>
      <c r="R4" s="13"/>
      <c r="S4" s="13"/>
      <c r="T4" s="13"/>
      <c r="U4" s="619" t="s">
        <v>49</v>
      </c>
      <c r="V4" s="619"/>
      <c r="W4" s="619"/>
      <c r="X4" s="619"/>
      <c r="Y4" s="619"/>
      <c r="Z4" s="619"/>
      <c r="AA4" s="619"/>
      <c r="AB4" s="619"/>
      <c r="AC4" s="619"/>
    </row>
    <row r="5" spans="1:34" ht="12" customHeight="1" x14ac:dyDescent="0.25">
      <c r="A5" s="10"/>
      <c r="F5" s="2"/>
      <c r="I5" s="13"/>
      <c r="J5" s="13"/>
      <c r="K5" s="13"/>
      <c r="L5" s="13"/>
      <c r="M5" s="13"/>
      <c r="N5" s="13"/>
      <c r="O5" s="13"/>
      <c r="P5" s="13"/>
      <c r="Q5" s="13"/>
      <c r="R5" s="13"/>
      <c r="S5" s="13"/>
      <c r="T5" s="13"/>
      <c r="U5" s="13"/>
      <c r="V5" s="13"/>
      <c r="W5" s="13"/>
      <c r="X5" s="13"/>
      <c r="Y5" s="13"/>
      <c r="Z5" s="13"/>
      <c r="AA5" s="13"/>
      <c r="AB5" s="13"/>
    </row>
    <row r="6" spans="1:34" ht="31.5" customHeight="1" x14ac:dyDescent="0.3">
      <c r="A6" s="18"/>
      <c r="B6" s="19"/>
      <c r="C6" s="19"/>
      <c r="D6" s="19"/>
      <c r="E6" s="19"/>
      <c r="F6" s="20"/>
      <c r="G6" s="19"/>
      <c r="H6" s="19"/>
      <c r="I6" s="622" t="s">
        <v>23</v>
      </c>
      <c r="J6" s="622"/>
      <c r="K6" s="622"/>
      <c r="L6" s="622"/>
      <c r="M6" s="622"/>
      <c r="N6" s="622"/>
      <c r="O6" s="622"/>
      <c r="P6" s="622"/>
      <c r="Q6" s="622"/>
      <c r="R6" s="622"/>
      <c r="S6" s="622"/>
      <c r="T6" s="622"/>
      <c r="U6" s="622"/>
      <c r="V6" s="622"/>
      <c r="W6" s="622"/>
      <c r="X6" s="622"/>
      <c r="Y6" s="622"/>
      <c r="Z6" s="622"/>
      <c r="AA6" s="622"/>
      <c r="AB6" s="622"/>
      <c r="AC6" s="283"/>
    </row>
    <row r="7" spans="1:34" ht="27" customHeight="1" x14ac:dyDescent="0.3">
      <c r="A7" s="18"/>
      <c r="B7" s="19"/>
      <c r="C7" s="19"/>
      <c r="D7" s="19"/>
      <c r="E7" s="19"/>
      <c r="F7" s="20"/>
      <c r="G7" s="19"/>
      <c r="H7" s="19"/>
      <c r="I7" s="622" t="s">
        <v>34</v>
      </c>
      <c r="J7" s="622"/>
      <c r="K7" s="622"/>
      <c r="L7" s="622"/>
      <c r="M7" s="622"/>
      <c r="N7" s="622"/>
      <c r="O7" s="622"/>
      <c r="P7" s="622"/>
      <c r="Q7" s="622"/>
      <c r="R7" s="622"/>
      <c r="S7" s="622"/>
      <c r="T7" s="622"/>
      <c r="U7" s="622"/>
      <c r="V7" s="622"/>
      <c r="W7" s="622"/>
      <c r="X7" s="622"/>
      <c r="Y7" s="622"/>
      <c r="Z7" s="622"/>
      <c r="AA7" s="622"/>
      <c r="AB7" s="622"/>
      <c r="AC7" s="622"/>
    </row>
    <row r="8" spans="1:34" ht="20.25" hidden="1" customHeight="1" x14ac:dyDescent="0.3">
      <c r="A8" s="18"/>
      <c r="B8" s="19"/>
      <c r="C8" s="19"/>
      <c r="D8" s="19"/>
      <c r="E8" s="19"/>
      <c r="F8" s="20"/>
      <c r="G8" s="19"/>
      <c r="H8" s="19"/>
      <c r="I8" s="92" t="s">
        <v>35</v>
      </c>
      <c r="J8" s="92"/>
      <c r="K8" s="92"/>
      <c r="L8" s="92"/>
      <c r="M8" s="92"/>
      <c r="N8" s="92"/>
      <c r="O8" s="92"/>
      <c r="P8" s="92"/>
      <c r="Q8" s="92"/>
      <c r="R8" s="92"/>
      <c r="S8" s="92"/>
      <c r="T8" s="92"/>
      <c r="U8" s="92"/>
      <c r="V8" s="92"/>
      <c r="W8" s="92"/>
      <c r="X8" s="92"/>
      <c r="Y8" s="92"/>
      <c r="Z8" s="92"/>
      <c r="AA8" s="92"/>
      <c r="AB8" s="92"/>
      <c r="AC8" s="92"/>
    </row>
    <row r="9" spans="1:34" ht="20.25" hidden="1" customHeight="1" x14ac:dyDescent="0.3">
      <c r="A9" s="18"/>
      <c r="B9" s="19"/>
      <c r="C9" s="19"/>
      <c r="D9" s="19"/>
      <c r="E9" s="19"/>
      <c r="F9" s="20"/>
      <c r="G9" s="19"/>
      <c r="H9" s="19"/>
      <c r="I9" s="93" t="s">
        <v>3</v>
      </c>
      <c r="J9" s="93"/>
      <c r="K9" s="93"/>
      <c r="L9" s="93"/>
      <c r="M9" s="93"/>
      <c r="N9" s="93"/>
      <c r="O9" s="93"/>
      <c r="P9" s="93"/>
      <c r="Q9" s="93"/>
      <c r="R9" s="94"/>
      <c r="S9" s="93" t="s">
        <v>32</v>
      </c>
      <c r="T9" s="93"/>
      <c r="U9" s="93"/>
      <c r="V9" s="93"/>
      <c r="W9" s="93"/>
      <c r="X9" s="95" t="s">
        <v>4</v>
      </c>
      <c r="Y9" s="95"/>
      <c r="Z9" s="95"/>
      <c r="AA9" s="95"/>
      <c r="AB9" s="95"/>
      <c r="AC9" s="96" t="s">
        <v>40</v>
      </c>
    </row>
    <row r="10" spans="1:34" s="12" customFormat="1" ht="49.5" hidden="1" customHeight="1" x14ac:dyDescent="0.25">
      <c r="A10" s="22" t="s">
        <v>5</v>
      </c>
      <c r="B10" s="22" t="s">
        <v>6</v>
      </c>
      <c r="C10" s="22" t="s">
        <v>7</v>
      </c>
      <c r="D10" s="22" t="s">
        <v>8</v>
      </c>
      <c r="E10" s="22" t="s">
        <v>9</v>
      </c>
      <c r="F10" s="23" t="s">
        <v>5</v>
      </c>
      <c r="G10" s="24" t="s">
        <v>10</v>
      </c>
      <c r="H10" s="25"/>
      <c r="I10" s="97" t="s">
        <v>11</v>
      </c>
      <c r="J10" s="97" t="s">
        <v>12</v>
      </c>
      <c r="K10" s="97" t="s">
        <v>13</v>
      </c>
      <c r="L10" s="97" t="s">
        <v>24</v>
      </c>
      <c r="M10" s="97" t="s">
        <v>25</v>
      </c>
      <c r="N10" s="97" t="s">
        <v>26</v>
      </c>
      <c r="O10" s="97" t="s">
        <v>27</v>
      </c>
      <c r="P10" s="97" t="s">
        <v>28</v>
      </c>
      <c r="Q10" s="97" t="s">
        <v>29</v>
      </c>
      <c r="R10" s="98" t="s">
        <v>47</v>
      </c>
      <c r="S10" s="99" t="s">
        <v>14</v>
      </c>
      <c r="T10" s="99" t="s">
        <v>31</v>
      </c>
      <c r="U10" s="99" t="s">
        <v>15</v>
      </c>
      <c r="V10" s="99" t="s">
        <v>16</v>
      </c>
      <c r="W10" s="99"/>
      <c r="X10" s="99" t="s">
        <v>17</v>
      </c>
      <c r="Y10" s="99" t="s">
        <v>18</v>
      </c>
      <c r="Z10" s="99" t="s">
        <v>19</v>
      </c>
      <c r="AA10" s="99" t="s">
        <v>20</v>
      </c>
      <c r="AB10" s="99" t="s">
        <v>21</v>
      </c>
      <c r="AC10" s="96"/>
    </row>
    <row r="11" spans="1:34" s="16" customFormat="1" ht="77.25" hidden="1" customHeight="1" x14ac:dyDescent="0.2">
      <c r="A11" s="29"/>
      <c r="B11" s="30"/>
      <c r="C11" s="30"/>
      <c r="D11" s="30"/>
      <c r="E11" s="27"/>
      <c r="F11" s="29"/>
      <c r="G11" s="27"/>
      <c r="H11" s="27"/>
      <c r="I11" s="390">
        <v>7</v>
      </c>
      <c r="J11" s="389" t="s">
        <v>41</v>
      </c>
      <c r="K11" s="389" t="s">
        <v>42</v>
      </c>
      <c r="L11" s="390">
        <v>1</v>
      </c>
      <c r="M11" s="390">
        <v>0</v>
      </c>
      <c r="N11" s="390">
        <v>1</v>
      </c>
      <c r="O11" s="390">
        <v>0</v>
      </c>
      <c r="P11" s="387">
        <f>SUM(L11:O11)</f>
        <v>2</v>
      </c>
      <c r="Q11" s="103" t="s">
        <v>22</v>
      </c>
      <c r="R11" s="103" t="s">
        <v>30</v>
      </c>
      <c r="S11" s="387">
        <v>1</v>
      </c>
      <c r="T11" s="103" t="s">
        <v>41</v>
      </c>
      <c r="U11" s="103" t="s">
        <v>44</v>
      </c>
      <c r="V11" s="104">
        <v>1</v>
      </c>
      <c r="W11" s="104"/>
      <c r="X11" s="105">
        <f>SUM(Y11:AB11)</f>
        <v>0</v>
      </c>
      <c r="Y11" s="388">
        <v>0</v>
      </c>
      <c r="Z11" s="388"/>
      <c r="AA11" s="107"/>
      <c r="AB11" s="107"/>
      <c r="AC11" s="388">
        <v>0</v>
      </c>
    </row>
    <row r="12" spans="1:34" ht="27" customHeight="1" x14ac:dyDescent="0.3">
      <c r="A12" s="18"/>
      <c r="B12" s="19"/>
      <c r="C12" s="19"/>
      <c r="D12" s="19"/>
      <c r="E12" s="19"/>
      <c r="F12" s="20"/>
      <c r="G12" s="19"/>
      <c r="H12" s="19"/>
      <c r="I12" s="622" t="s">
        <v>36</v>
      </c>
      <c r="J12" s="622"/>
      <c r="K12" s="622"/>
      <c r="L12" s="622"/>
      <c r="M12" s="622"/>
      <c r="N12" s="622"/>
      <c r="O12" s="622"/>
      <c r="P12" s="622"/>
      <c r="Q12" s="622"/>
      <c r="R12" s="622"/>
      <c r="S12" s="622"/>
      <c r="T12" s="622"/>
      <c r="U12" s="622"/>
      <c r="V12" s="622"/>
      <c r="W12" s="622"/>
      <c r="X12" s="622"/>
      <c r="Y12" s="622"/>
      <c r="Z12" s="622"/>
      <c r="AA12" s="622"/>
      <c r="AB12" s="622"/>
      <c r="AC12" s="622"/>
      <c r="AE12" s="640" t="s">
        <v>413</v>
      </c>
      <c r="AF12" s="640"/>
      <c r="AG12" s="640"/>
    </row>
    <row r="13" spans="1:34" ht="20.25" customHeight="1" x14ac:dyDescent="0.3">
      <c r="A13" s="18"/>
      <c r="B13" s="19"/>
      <c r="C13" s="19"/>
      <c r="D13" s="19"/>
      <c r="E13" s="19"/>
      <c r="F13" s="20"/>
      <c r="G13" s="19"/>
      <c r="H13" s="19"/>
      <c r="I13" s="634" t="s">
        <v>3</v>
      </c>
      <c r="J13" s="634"/>
      <c r="K13" s="634"/>
      <c r="L13" s="634"/>
      <c r="M13" s="634"/>
      <c r="N13" s="634"/>
      <c r="O13" s="634"/>
      <c r="P13" s="634"/>
      <c r="Q13" s="634"/>
      <c r="R13" s="634" t="s">
        <v>72</v>
      </c>
      <c r="S13" s="634"/>
      <c r="T13" s="634"/>
      <c r="U13" s="634"/>
      <c r="V13" s="634"/>
      <c r="W13" s="634"/>
      <c r="X13" s="635" t="s">
        <v>4</v>
      </c>
      <c r="Y13" s="635"/>
      <c r="Z13" s="635"/>
      <c r="AA13" s="635"/>
      <c r="AB13" s="635"/>
      <c r="AC13" s="636" t="s">
        <v>40</v>
      </c>
      <c r="AE13" s="647" t="s">
        <v>410</v>
      </c>
      <c r="AF13" s="648"/>
      <c r="AG13" s="624" t="s">
        <v>445</v>
      </c>
    </row>
    <row r="14" spans="1:34" s="12" customFormat="1" ht="27.75" customHeight="1" x14ac:dyDescent="0.25">
      <c r="A14" s="22" t="s">
        <v>5</v>
      </c>
      <c r="B14" s="22" t="s">
        <v>6</v>
      </c>
      <c r="C14" s="22" t="s">
        <v>7</v>
      </c>
      <c r="D14" s="22" t="s">
        <v>8</v>
      </c>
      <c r="E14" s="22" t="s">
        <v>9</v>
      </c>
      <c r="F14" s="23" t="s">
        <v>5</v>
      </c>
      <c r="G14" s="24" t="s">
        <v>10</v>
      </c>
      <c r="H14" s="48"/>
      <c r="I14" s="395" t="s">
        <v>51</v>
      </c>
      <c r="J14" s="395" t="s">
        <v>12</v>
      </c>
      <c r="K14" s="395" t="s">
        <v>52</v>
      </c>
      <c r="L14" s="395" t="s">
        <v>24</v>
      </c>
      <c r="M14" s="395" t="s">
        <v>25</v>
      </c>
      <c r="N14" s="395" t="s">
        <v>26</v>
      </c>
      <c r="O14" s="395" t="s">
        <v>27</v>
      </c>
      <c r="P14" s="395" t="s">
        <v>28</v>
      </c>
      <c r="Q14" s="395" t="s">
        <v>29</v>
      </c>
      <c r="R14" s="395" t="s">
        <v>47</v>
      </c>
      <c r="S14" s="396" t="s">
        <v>14</v>
      </c>
      <c r="T14" s="396" t="s">
        <v>79</v>
      </c>
      <c r="U14" s="396" t="s">
        <v>15</v>
      </c>
      <c r="V14" s="396" t="s">
        <v>16</v>
      </c>
      <c r="W14" s="395" t="s">
        <v>48</v>
      </c>
      <c r="X14" s="396" t="s">
        <v>17</v>
      </c>
      <c r="Y14" s="396" t="s">
        <v>18</v>
      </c>
      <c r="Z14" s="396" t="s">
        <v>19</v>
      </c>
      <c r="AA14" s="396" t="s">
        <v>361</v>
      </c>
      <c r="AB14" s="396" t="s">
        <v>21</v>
      </c>
      <c r="AC14" s="636"/>
      <c r="AD14" s="393" t="s">
        <v>426</v>
      </c>
      <c r="AE14" s="339" t="s">
        <v>408</v>
      </c>
      <c r="AF14" s="339" t="s">
        <v>409</v>
      </c>
      <c r="AG14" s="625"/>
    </row>
    <row r="15" spans="1:34" s="16" customFormat="1" ht="206.25" customHeight="1" x14ac:dyDescent="0.2">
      <c r="A15" s="29"/>
      <c r="B15" s="30"/>
      <c r="C15" s="30"/>
      <c r="D15" s="30"/>
      <c r="E15" s="27"/>
      <c r="F15" s="29"/>
      <c r="G15" s="27"/>
      <c r="H15" s="32"/>
      <c r="I15" s="631" t="s">
        <v>43</v>
      </c>
      <c r="J15" s="661" t="s">
        <v>50</v>
      </c>
      <c r="K15" s="662" t="s">
        <v>71</v>
      </c>
      <c r="L15" s="654">
        <v>3</v>
      </c>
      <c r="M15" s="655">
        <v>3</v>
      </c>
      <c r="N15" s="655">
        <v>3</v>
      </c>
      <c r="O15" s="655">
        <v>3</v>
      </c>
      <c r="P15" s="651">
        <f>SUM(L15:O15)</f>
        <v>12</v>
      </c>
      <c r="Q15" s="652" t="s">
        <v>22</v>
      </c>
      <c r="R15" s="644" t="s">
        <v>30</v>
      </c>
      <c r="S15" s="409">
        <v>1</v>
      </c>
      <c r="T15" s="397" t="s">
        <v>92</v>
      </c>
      <c r="U15" s="398" t="s">
        <v>93</v>
      </c>
      <c r="V15" s="399">
        <v>1</v>
      </c>
      <c r="W15" s="400" t="s">
        <v>74</v>
      </c>
      <c r="X15" s="401">
        <f>+Y15+Z15+AA15</f>
        <v>57001591</v>
      </c>
      <c r="Y15" s="402">
        <f>75000000-17998409</f>
        <v>57001591</v>
      </c>
      <c r="Z15" s="402">
        <v>0</v>
      </c>
      <c r="AA15" s="402">
        <v>0</v>
      </c>
      <c r="AB15" s="403"/>
      <c r="AC15" s="402">
        <v>0</v>
      </c>
      <c r="AD15" s="428" t="s">
        <v>647</v>
      </c>
      <c r="AE15" s="394" t="s">
        <v>610</v>
      </c>
      <c r="AF15" s="394" t="s">
        <v>648</v>
      </c>
      <c r="AG15" s="394" t="s">
        <v>664</v>
      </c>
      <c r="AH15" s="391" t="s">
        <v>656</v>
      </c>
    </row>
    <row r="16" spans="1:34" s="16" customFormat="1" ht="121.5" customHeight="1" x14ac:dyDescent="0.2">
      <c r="A16" s="29"/>
      <c r="B16" s="30"/>
      <c r="C16" s="30"/>
      <c r="D16" s="30"/>
      <c r="E16" s="27"/>
      <c r="F16" s="29"/>
      <c r="G16" s="27"/>
      <c r="H16" s="32"/>
      <c r="I16" s="631"/>
      <c r="J16" s="661"/>
      <c r="K16" s="662"/>
      <c r="L16" s="654"/>
      <c r="M16" s="655"/>
      <c r="N16" s="655"/>
      <c r="O16" s="655"/>
      <c r="P16" s="651"/>
      <c r="Q16" s="652"/>
      <c r="R16" s="644"/>
      <c r="S16" s="409">
        <v>2</v>
      </c>
      <c r="T16" s="397" t="s">
        <v>533</v>
      </c>
      <c r="U16" s="398" t="s">
        <v>94</v>
      </c>
      <c r="V16" s="399">
        <v>12</v>
      </c>
      <c r="W16" s="400" t="s">
        <v>80</v>
      </c>
      <c r="X16" s="401">
        <f>+Y16+Z16+AA16</f>
        <v>48000000</v>
      </c>
      <c r="Y16" s="402">
        <v>48000000</v>
      </c>
      <c r="Z16" s="402">
        <v>0</v>
      </c>
      <c r="AA16" s="402">
        <v>0</v>
      </c>
      <c r="AB16" s="403"/>
      <c r="AC16" s="402">
        <v>0</v>
      </c>
      <c r="AD16" s="428" t="s">
        <v>649</v>
      </c>
      <c r="AE16" s="394" t="s">
        <v>651</v>
      </c>
      <c r="AF16" s="394" t="s">
        <v>650</v>
      </c>
      <c r="AG16" s="394" t="s">
        <v>652</v>
      </c>
      <c r="AH16" s="391" t="s">
        <v>653</v>
      </c>
    </row>
    <row r="17" spans="1:34" s="16" customFormat="1" ht="80.25" customHeight="1" x14ac:dyDescent="0.2">
      <c r="A17" s="29"/>
      <c r="B17" s="30"/>
      <c r="C17" s="30"/>
      <c r="D17" s="30"/>
      <c r="E17" s="27"/>
      <c r="F17" s="29"/>
      <c r="G17" s="27"/>
      <c r="H17" s="32"/>
      <c r="I17" s="631"/>
      <c r="J17" s="661"/>
      <c r="K17" s="662"/>
      <c r="L17" s="654"/>
      <c r="M17" s="655"/>
      <c r="N17" s="655"/>
      <c r="O17" s="655"/>
      <c r="P17" s="651"/>
      <c r="Q17" s="652"/>
      <c r="R17" s="644"/>
      <c r="S17" s="409">
        <v>3</v>
      </c>
      <c r="T17" s="397" t="s">
        <v>95</v>
      </c>
      <c r="U17" s="397" t="s">
        <v>101</v>
      </c>
      <c r="V17" s="399">
        <v>1</v>
      </c>
      <c r="W17" s="400" t="s">
        <v>74</v>
      </c>
      <c r="X17" s="401">
        <f>Y17+Z17+AA17</f>
        <v>30000000</v>
      </c>
      <c r="Y17" s="402">
        <v>30000000</v>
      </c>
      <c r="Z17" s="402">
        <v>0</v>
      </c>
      <c r="AA17" s="402">
        <v>0</v>
      </c>
      <c r="AB17" s="403"/>
      <c r="AC17" s="402">
        <v>0</v>
      </c>
      <c r="AD17" s="429" t="s">
        <v>654</v>
      </c>
      <c r="AE17" s="394" t="s">
        <v>535</v>
      </c>
      <c r="AF17" s="394" t="s">
        <v>534</v>
      </c>
      <c r="AG17" s="394" t="s">
        <v>536</v>
      </c>
      <c r="AH17" s="391" t="s">
        <v>655</v>
      </c>
    </row>
    <row r="18" spans="1:34" s="16" customFormat="1" ht="121.5" customHeight="1" x14ac:dyDescent="0.2">
      <c r="A18" s="29"/>
      <c r="B18" s="30"/>
      <c r="C18" s="30"/>
      <c r="D18" s="30"/>
      <c r="E18" s="27"/>
      <c r="F18" s="29"/>
      <c r="G18" s="27"/>
      <c r="H18" s="32"/>
      <c r="I18" s="631"/>
      <c r="J18" s="661"/>
      <c r="K18" s="662"/>
      <c r="L18" s="654"/>
      <c r="M18" s="655"/>
      <c r="N18" s="655"/>
      <c r="O18" s="655"/>
      <c r="P18" s="651"/>
      <c r="Q18" s="652"/>
      <c r="R18" s="644"/>
      <c r="S18" s="409">
        <v>4</v>
      </c>
      <c r="T18" s="397" t="s">
        <v>97</v>
      </c>
      <c r="U18" s="397" t="s">
        <v>101</v>
      </c>
      <c r="V18" s="399">
        <v>1</v>
      </c>
      <c r="W18" s="400" t="s">
        <v>80</v>
      </c>
      <c r="X18" s="401">
        <f>Y18+Z18+AA18</f>
        <v>72700000</v>
      </c>
      <c r="Y18" s="402">
        <f>80500000-17800000+10000000</f>
        <v>72700000</v>
      </c>
      <c r="Z18" s="402">
        <v>0</v>
      </c>
      <c r="AA18" s="402">
        <v>0</v>
      </c>
      <c r="AB18" s="403"/>
      <c r="AC18" s="402">
        <v>0</v>
      </c>
      <c r="AD18" s="429" t="s">
        <v>658</v>
      </c>
      <c r="AE18" s="394" t="s">
        <v>659</v>
      </c>
      <c r="AF18" s="394" t="s">
        <v>660</v>
      </c>
      <c r="AG18" s="394" t="s">
        <v>661</v>
      </c>
      <c r="AH18" s="391" t="s">
        <v>657</v>
      </c>
    </row>
    <row r="19" spans="1:34" s="16" customFormat="1" ht="75.75" customHeight="1" x14ac:dyDescent="0.2">
      <c r="A19" s="29"/>
      <c r="B19" s="30"/>
      <c r="C19" s="30"/>
      <c r="D19" s="30"/>
      <c r="E19" s="27"/>
      <c r="F19" s="29"/>
      <c r="G19" s="27"/>
      <c r="H19" s="32"/>
      <c r="I19" s="631"/>
      <c r="J19" s="661"/>
      <c r="K19" s="662"/>
      <c r="L19" s="654"/>
      <c r="M19" s="655"/>
      <c r="N19" s="655"/>
      <c r="O19" s="655"/>
      <c r="P19" s="651"/>
      <c r="Q19" s="652"/>
      <c r="R19" s="644"/>
      <c r="S19" s="409">
        <v>5</v>
      </c>
      <c r="T19" s="397" t="s">
        <v>96</v>
      </c>
      <c r="U19" s="397" t="s">
        <v>101</v>
      </c>
      <c r="V19" s="399">
        <v>1</v>
      </c>
      <c r="W19" s="400" t="s">
        <v>80</v>
      </c>
      <c r="X19" s="401">
        <f>Y19+Z19+AA19</f>
        <v>30000000</v>
      </c>
      <c r="Y19" s="402">
        <v>30000000</v>
      </c>
      <c r="Z19" s="402">
        <v>0</v>
      </c>
      <c r="AA19" s="402">
        <v>0</v>
      </c>
      <c r="AB19" s="403"/>
      <c r="AC19" s="402">
        <v>0</v>
      </c>
      <c r="AD19" s="429" t="s">
        <v>662</v>
      </c>
      <c r="AE19" s="394" t="s">
        <v>663</v>
      </c>
      <c r="AF19" s="394" t="s">
        <v>611</v>
      </c>
      <c r="AG19" s="394" t="s">
        <v>665</v>
      </c>
      <c r="AH19" s="391" t="s">
        <v>612</v>
      </c>
    </row>
    <row r="20" spans="1:34" s="16" customFormat="1" ht="37.5" customHeight="1" x14ac:dyDescent="0.2">
      <c r="A20" s="29"/>
      <c r="B20" s="30"/>
      <c r="C20" s="30"/>
      <c r="D20" s="30"/>
      <c r="E20" s="27"/>
      <c r="F20" s="29"/>
      <c r="G20" s="27"/>
      <c r="H20" s="49"/>
      <c r="I20" s="633" t="s">
        <v>64</v>
      </c>
      <c r="J20" s="633"/>
      <c r="K20" s="633"/>
      <c r="L20" s="633"/>
      <c r="M20" s="633"/>
      <c r="N20" s="633"/>
      <c r="O20" s="633"/>
      <c r="P20" s="633"/>
      <c r="Q20" s="633"/>
      <c r="R20" s="633"/>
      <c r="S20" s="633"/>
      <c r="T20" s="633"/>
      <c r="U20" s="633"/>
      <c r="V20" s="633"/>
      <c r="W20" s="633"/>
      <c r="X20" s="633"/>
      <c r="Y20" s="633"/>
      <c r="Z20" s="633"/>
      <c r="AA20" s="633"/>
      <c r="AB20" s="633"/>
      <c r="AC20" s="404"/>
      <c r="AD20" s="627"/>
      <c r="AE20" s="628"/>
      <c r="AF20" s="628"/>
      <c r="AG20" s="628"/>
    </row>
    <row r="21" spans="1:34" ht="20.25" customHeight="1" x14ac:dyDescent="0.3">
      <c r="A21" s="18"/>
      <c r="B21" s="19"/>
      <c r="C21" s="19"/>
      <c r="D21" s="19"/>
      <c r="E21" s="19"/>
      <c r="F21" s="20"/>
      <c r="G21" s="19"/>
      <c r="H21" s="50"/>
      <c r="I21" s="633" t="s">
        <v>60</v>
      </c>
      <c r="J21" s="633"/>
      <c r="K21" s="633"/>
      <c r="L21" s="633"/>
      <c r="M21" s="633"/>
      <c r="N21" s="633"/>
      <c r="O21" s="633"/>
      <c r="P21" s="633"/>
      <c r="Q21" s="633"/>
      <c r="R21" s="633"/>
      <c r="S21" s="633"/>
      <c r="T21" s="633"/>
      <c r="U21" s="633"/>
      <c r="V21" s="633"/>
      <c r="W21" s="633"/>
      <c r="X21" s="633"/>
      <c r="Y21" s="633"/>
      <c r="Z21" s="633"/>
      <c r="AA21" s="633"/>
      <c r="AB21" s="633"/>
      <c r="AC21" s="633"/>
      <c r="AD21" s="627"/>
      <c r="AE21" s="628"/>
      <c r="AF21" s="628"/>
      <c r="AG21" s="628"/>
    </row>
    <row r="22" spans="1:34" ht="20.25" customHeight="1" x14ac:dyDescent="0.3">
      <c r="A22" s="18"/>
      <c r="B22" s="19"/>
      <c r="C22" s="19"/>
      <c r="D22" s="19"/>
      <c r="E22" s="19"/>
      <c r="F22" s="20"/>
      <c r="G22" s="19"/>
      <c r="H22" s="50"/>
      <c r="I22" s="633" t="s">
        <v>37</v>
      </c>
      <c r="J22" s="633"/>
      <c r="K22" s="633"/>
      <c r="L22" s="633"/>
      <c r="M22" s="633"/>
      <c r="N22" s="633"/>
      <c r="O22" s="633"/>
      <c r="P22" s="633"/>
      <c r="Q22" s="633"/>
      <c r="R22" s="633"/>
      <c r="S22" s="633"/>
      <c r="T22" s="633"/>
      <c r="U22" s="633"/>
      <c r="V22" s="633"/>
      <c r="W22" s="633"/>
      <c r="X22" s="633"/>
      <c r="Y22" s="633"/>
      <c r="Z22" s="633"/>
      <c r="AA22" s="633"/>
      <c r="AB22" s="633"/>
      <c r="AC22" s="633"/>
      <c r="AD22" s="627"/>
      <c r="AE22" s="628"/>
      <c r="AF22" s="628"/>
      <c r="AG22" s="628"/>
    </row>
    <row r="23" spans="1:34" ht="20.25" customHeight="1" x14ac:dyDescent="0.3">
      <c r="A23" s="18"/>
      <c r="B23" s="19"/>
      <c r="C23" s="19"/>
      <c r="D23" s="19"/>
      <c r="E23" s="19"/>
      <c r="F23" s="20"/>
      <c r="G23" s="19"/>
      <c r="H23" s="50"/>
      <c r="I23" s="634" t="s">
        <v>3</v>
      </c>
      <c r="J23" s="634"/>
      <c r="K23" s="634"/>
      <c r="L23" s="634"/>
      <c r="M23" s="634"/>
      <c r="N23" s="634"/>
      <c r="O23" s="634"/>
      <c r="P23" s="634"/>
      <c r="Q23" s="634"/>
      <c r="R23" s="634" t="s">
        <v>72</v>
      </c>
      <c r="S23" s="634"/>
      <c r="T23" s="634"/>
      <c r="U23" s="634"/>
      <c r="V23" s="634"/>
      <c r="W23" s="634"/>
      <c r="X23" s="635" t="s">
        <v>4</v>
      </c>
      <c r="Y23" s="635"/>
      <c r="Z23" s="635"/>
      <c r="AA23" s="635"/>
      <c r="AB23" s="635"/>
      <c r="AC23" s="636" t="s">
        <v>40</v>
      </c>
      <c r="AD23" s="627"/>
      <c r="AE23" s="628"/>
      <c r="AF23" s="628"/>
      <c r="AG23" s="628"/>
    </row>
    <row r="24" spans="1:34" ht="78.75" customHeight="1" x14ac:dyDescent="0.3">
      <c r="A24" s="18"/>
      <c r="B24" s="19"/>
      <c r="C24" s="19"/>
      <c r="D24" s="19"/>
      <c r="E24" s="19"/>
      <c r="F24" s="20"/>
      <c r="G24" s="19"/>
      <c r="H24" s="51"/>
      <c r="I24" s="395" t="s">
        <v>61</v>
      </c>
      <c r="J24" s="395" t="s">
        <v>12</v>
      </c>
      <c r="K24" s="395" t="s">
        <v>62</v>
      </c>
      <c r="L24" s="395" t="s">
        <v>24</v>
      </c>
      <c r="M24" s="395" t="s">
        <v>25</v>
      </c>
      <c r="N24" s="395" t="s">
        <v>26</v>
      </c>
      <c r="O24" s="395" t="s">
        <v>27</v>
      </c>
      <c r="P24" s="395" t="s">
        <v>28</v>
      </c>
      <c r="Q24" s="395" t="s">
        <v>63</v>
      </c>
      <c r="R24" s="395" t="s">
        <v>47</v>
      </c>
      <c r="S24" s="396" t="s">
        <v>14</v>
      </c>
      <c r="T24" s="396" t="s">
        <v>79</v>
      </c>
      <c r="U24" s="396" t="s">
        <v>15</v>
      </c>
      <c r="V24" s="396" t="s">
        <v>16</v>
      </c>
      <c r="W24" s="395" t="s">
        <v>48</v>
      </c>
      <c r="X24" s="396" t="s">
        <v>17</v>
      </c>
      <c r="Y24" s="396" t="s">
        <v>18</v>
      </c>
      <c r="Z24" s="396" t="s">
        <v>19</v>
      </c>
      <c r="AA24" s="396" t="s">
        <v>20</v>
      </c>
      <c r="AB24" s="405"/>
      <c r="AC24" s="636"/>
      <c r="AD24" s="627"/>
      <c r="AE24" s="628"/>
      <c r="AF24" s="628"/>
      <c r="AG24" s="628"/>
    </row>
    <row r="25" spans="1:34" ht="99.75" customHeight="1" x14ac:dyDescent="0.3">
      <c r="A25" s="18"/>
      <c r="B25" s="19"/>
      <c r="C25" s="19"/>
      <c r="D25" s="19"/>
      <c r="E25" s="19"/>
      <c r="F25" s="20"/>
      <c r="G25" s="19"/>
      <c r="H25" s="28"/>
      <c r="I25" s="406" t="s">
        <v>81</v>
      </c>
      <c r="J25" s="407" t="s">
        <v>82</v>
      </c>
      <c r="K25" s="407" t="s">
        <v>82</v>
      </c>
      <c r="L25" s="408">
        <v>0</v>
      </c>
      <c r="M25" s="408">
        <v>1</v>
      </c>
      <c r="N25" s="408">
        <v>2</v>
      </c>
      <c r="O25" s="408">
        <v>3</v>
      </c>
      <c r="P25" s="409">
        <v>6</v>
      </c>
      <c r="Q25" s="398" t="s">
        <v>22</v>
      </c>
      <c r="R25" s="410" t="s">
        <v>30</v>
      </c>
      <c r="S25" s="411">
        <v>6</v>
      </c>
      <c r="T25" s="412" t="s">
        <v>380</v>
      </c>
      <c r="U25" s="397" t="s">
        <v>102</v>
      </c>
      <c r="V25" s="399">
        <v>1</v>
      </c>
      <c r="W25" s="400" t="s">
        <v>73</v>
      </c>
      <c r="X25" s="413">
        <f>Y25+Z25+AA25</f>
        <v>210000000</v>
      </c>
      <c r="Y25" s="402">
        <v>210000000</v>
      </c>
      <c r="Z25" s="402">
        <v>0</v>
      </c>
      <c r="AA25" s="402">
        <v>0</v>
      </c>
      <c r="AB25" s="403"/>
      <c r="AC25" s="402">
        <v>0</v>
      </c>
      <c r="AD25" s="392" t="s">
        <v>666</v>
      </c>
      <c r="AE25" s="430" t="s">
        <v>668</v>
      </c>
      <c r="AF25" s="430" t="s">
        <v>534</v>
      </c>
      <c r="AG25" s="430" t="s">
        <v>669</v>
      </c>
      <c r="AH25" s="391" t="s">
        <v>667</v>
      </c>
    </row>
    <row r="26" spans="1:34" ht="35.25" customHeight="1" x14ac:dyDescent="0.3">
      <c r="A26" s="18"/>
      <c r="B26" s="19"/>
      <c r="C26" s="19"/>
      <c r="D26" s="19"/>
      <c r="E26" s="19"/>
      <c r="F26" s="20"/>
      <c r="G26" s="19"/>
      <c r="H26" s="28"/>
      <c r="I26" s="633" t="s">
        <v>64</v>
      </c>
      <c r="J26" s="633"/>
      <c r="K26" s="633"/>
      <c r="L26" s="633"/>
      <c r="M26" s="633"/>
      <c r="N26" s="633"/>
      <c r="O26" s="633"/>
      <c r="P26" s="633"/>
      <c r="Q26" s="633"/>
      <c r="R26" s="633"/>
      <c r="S26" s="633"/>
      <c r="T26" s="633"/>
      <c r="U26" s="633"/>
      <c r="V26" s="633"/>
      <c r="W26" s="633"/>
      <c r="X26" s="633"/>
      <c r="Y26" s="633"/>
      <c r="Z26" s="633"/>
      <c r="AA26" s="633"/>
      <c r="AB26" s="633"/>
      <c r="AC26" s="633"/>
      <c r="AD26" s="629"/>
      <c r="AE26" s="630"/>
      <c r="AF26" s="630"/>
      <c r="AG26" s="630"/>
    </row>
    <row r="27" spans="1:34" ht="29.25" customHeight="1" x14ac:dyDescent="0.3">
      <c r="A27" s="18"/>
      <c r="B27" s="19"/>
      <c r="C27" s="19"/>
      <c r="D27" s="19"/>
      <c r="E27" s="19"/>
      <c r="F27" s="20"/>
      <c r="G27" s="19"/>
      <c r="H27" s="28"/>
      <c r="I27" s="633" t="s">
        <v>65</v>
      </c>
      <c r="J27" s="633"/>
      <c r="K27" s="633"/>
      <c r="L27" s="633"/>
      <c r="M27" s="633"/>
      <c r="N27" s="633"/>
      <c r="O27" s="633"/>
      <c r="P27" s="633"/>
      <c r="Q27" s="633"/>
      <c r="R27" s="633"/>
      <c r="S27" s="633"/>
      <c r="T27" s="633"/>
      <c r="U27" s="633"/>
      <c r="V27" s="633"/>
      <c r="W27" s="633"/>
      <c r="X27" s="633"/>
      <c r="Y27" s="633"/>
      <c r="Z27" s="633"/>
      <c r="AA27" s="633"/>
      <c r="AB27" s="633"/>
      <c r="AC27" s="633"/>
      <c r="AD27" s="629"/>
      <c r="AE27" s="630"/>
      <c r="AF27" s="630"/>
      <c r="AG27" s="630"/>
    </row>
    <row r="28" spans="1:34" ht="20.25" customHeight="1" x14ac:dyDescent="0.3">
      <c r="A28" s="18"/>
      <c r="B28" s="19"/>
      <c r="C28" s="19"/>
      <c r="D28" s="19"/>
      <c r="E28" s="19"/>
      <c r="F28" s="20"/>
      <c r="G28" s="19"/>
      <c r="H28" s="28"/>
      <c r="I28" s="633" t="s">
        <v>66</v>
      </c>
      <c r="J28" s="633"/>
      <c r="K28" s="633"/>
      <c r="L28" s="633"/>
      <c r="M28" s="633"/>
      <c r="N28" s="633"/>
      <c r="O28" s="633"/>
      <c r="P28" s="633"/>
      <c r="Q28" s="633"/>
      <c r="R28" s="633"/>
      <c r="S28" s="633"/>
      <c r="T28" s="633"/>
      <c r="U28" s="633"/>
      <c r="V28" s="633"/>
      <c r="W28" s="633"/>
      <c r="X28" s="633"/>
      <c r="Y28" s="633"/>
      <c r="Z28" s="633"/>
      <c r="AA28" s="633"/>
      <c r="AB28" s="633"/>
      <c r="AC28" s="633"/>
      <c r="AD28" s="629"/>
      <c r="AE28" s="630"/>
      <c r="AF28" s="630"/>
      <c r="AG28" s="630"/>
    </row>
    <row r="29" spans="1:34" ht="20.25" customHeight="1" x14ac:dyDescent="0.3">
      <c r="A29" s="18"/>
      <c r="B29" s="19"/>
      <c r="C29" s="19"/>
      <c r="D29" s="19"/>
      <c r="E29" s="19"/>
      <c r="F29" s="20"/>
      <c r="G29" s="19"/>
      <c r="H29" s="28"/>
      <c r="I29" s="634" t="s">
        <v>3</v>
      </c>
      <c r="J29" s="634"/>
      <c r="K29" s="634"/>
      <c r="L29" s="634"/>
      <c r="M29" s="634"/>
      <c r="N29" s="634"/>
      <c r="O29" s="634"/>
      <c r="P29" s="634"/>
      <c r="Q29" s="634"/>
      <c r="R29" s="414"/>
      <c r="S29" s="634" t="s">
        <v>72</v>
      </c>
      <c r="T29" s="634"/>
      <c r="U29" s="634"/>
      <c r="V29" s="634"/>
      <c r="W29" s="634"/>
      <c r="X29" s="635" t="s">
        <v>4</v>
      </c>
      <c r="Y29" s="635"/>
      <c r="Z29" s="635"/>
      <c r="AA29" s="635"/>
      <c r="AB29" s="635"/>
      <c r="AC29" s="636" t="s">
        <v>40</v>
      </c>
      <c r="AD29" s="629"/>
      <c r="AE29" s="630"/>
      <c r="AF29" s="630"/>
      <c r="AG29" s="630"/>
    </row>
    <row r="30" spans="1:34" s="12" customFormat="1" ht="56.25" customHeight="1" x14ac:dyDescent="0.25">
      <c r="A30" s="22" t="s">
        <v>5</v>
      </c>
      <c r="B30" s="22" t="s">
        <v>6</v>
      </c>
      <c r="C30" s="22" t="s">
        <v>7</v>
      </c>
      <c r="D30" s="22" t="s">
        <v>8</v>
      </c>
      <c r="E30" s="22" t="s">
        <v>9</v>
      </c>
      <c r="F30" s="23" t="s">
        <v>5</v>
      </c>
      <c r="G30" s="24" t="s">
        <v>10</v>
      </c>
      <c r="H30" s="25"/>
      <c r="I30" s="395" t="s">
        <v>51</v>
      </c>
      <c r="J30" s="395" t="s">
        <v>12</v>
      </c>
      <c r="K30" s="395" t="s">
        <v>52</v>
      </c>
      <c r="L30" s="395" t="s">
        <v>24</v>
      </c>
      <c r="M30" s="395" t="s">
        <v>25</v>
      </c>
      <c r="N30" s="395" t="s">
        <v>26</v>
      </c>
      <c r="O30" s="395" t="s">
        <v>27</v>
      </c>
      <c r="P30" s="395" t="s">
        <v>28</v>
      </c>
      <c r="Q30" s="395" t="s">
        <v>29</v>
      </c>
      <c r="R30" s="395" t="s">
        <v>47</v>
      </c>
      <c r="S30" s="396" t="s">
        <v>14</v>
      </c>
      <c r="T30" s="396" t="s">
        <v>79</v>
      </c>
      <c r="U30" s="396" t="s">
        <v>15</v>
      </c>
      <c r="V30" s="396" t="s">
        <v>16</v>
      </c>
      <c r="W30" s="395" t="s">
        <v>48</v>
      </c>
      <c r="X30" s="396" t="s">
        <v>17</v>
      </c>
      <c r="Y30" s="396" t="s">
        <v>18</v>
      </c>
      <c r="Z30" s="396" t="s">
        <v>19</v>
      </c>
      <c r="AA30" s="396" t="s">
        <v>20</v>
      </c>
      <c r="AB30" s="396" t="s">
        <v>21</v>
      </c>
      <c r="AC30" s="636"/>
      <c r="AD30" s="629"/>
      <c r="AE30" s="630"/>
      <c r="AF30" s="630"/>
      <c r="AG30" s="630"/>
    </row>
    <row r="31" spans="1:34" s="15" customFormat="1" ht="225" customHeight="1" x14ac:dyDescent="0.25">
      <c r="A31" s="33">
        <v>28</v>
      </c>
      <c r="B31" s="34" t="s">
        <v>83</v>
      </c>
      <c r="C31" s="34" t="s">
        <v>84</v>
      </c>
      <c r="D31" s="35" t="s">
        <v>85</v>
      </c>
      <c r="E31" s="36" t="s">
        <v>86</v>
      </c>
      <c r="F31" s="33">
        <v>11</v>
      </c>
      <c r="G31" s="37" t="s">
        <v>87</v>
      </c>
      <c r="H31" s="27"/>
      <c r="I31" s="415" t="s">
        <v>88</v>
      </c>
      <c r="J31" s="407" t="s">
        <v>89</v>
      </c>
      <c r="K31" s="416" t="s">
        <v>90</v>
      </c>
      <c r="L31" s="417">
        <v>12000</v>
      </c>
      <c r="M31" s="408">
        <v>12000</v>
      </c>
      <c r="N31" s="408">
        <v>12000</v>
      </c>
      <c r="O31" s="408">
        <v>12000</v>
      </c>
      <c r="P31" s="409">
        <v>12000</v>
      </c>
      <c r="Q31" s="397" t="s">
        <v>22</v>
      </c>
      <c r="R31" s="397" t="s">
        <v>30</v>
      </c>
      <c r="S31" s="409">
        <v>7</v>
      </c>
      <c r="T31" s="416" t="s">
        <v>98</v>
      </c>
      <c r="U31" s="416" t="s">
        <v>103</v>
      </c>
      <c r="V31" s="399">
        <v>12000</v>
      </c>
      <c r="W31" s="416" t="s">
        <v>91</v>
      </c>
      <c r="X31" s="418">
        <f>Y31+Z31+AA31</f>
        <v>164500000</v>
      </c>
      <c r="Y31" s="419">
        <f>74500000+90000000</f>
        <v>164500000</v>
      </c>
      <c r="Z31" s="420">
        <v>0</v>
      </c>
      <c r="AA31" s="420">
        <v>0</v>
      </c>
      <c r="AB31" s="419"/>
      <c r="AC31" s="419">
        <v>47383335</v>
      </c>
      <c r="AD31" s="392" t="s">
        <v>670</v>
      </c>
      <c r="AE31" s="430" t="s">
        <v>671</v>
      </c>
      <c r="AF31" s="430" t="s">
        <v>673</v>
      </c>
      <c r="AG31" s="430" t="s">
        <v>674</v>
      </c>
      <c r="AH31" s="391" t="s">
        <v>537</v>
      </c>
    </row>
    <row r="32" spans="1:34" s="15" customFormat="1" ht="70.5" customHeight="1" x14ac:dyDescent="0.25">
      <c r="A32" s="29"/>
      <c r="B32" s="30"/>
      <c r="C32" s="30"/>
      <c r="D32" s="27"/>
      <c r="E32" s="27"/>
      <c r="F32" s="29"/>
      <c r="G32" s="27"/>
      <c r="H32" s="27"/>
      <c r="I32" s="415" t="s">
        <v>58</v>
      </c>
      <c r="J32" s="407" t="s">
        <v>59</v>
      </c>
      <c r="K32" s="416" t="s">
        <v>68</v>
      </c>
      <c r="L32" s="408">
        <v>0</v>
      </c>
      <c r="M32" s="408">
        <v>2</v>
      </c>
      <c r="N32" s="408">
        <v>6</v>
      </c>
      <c r="O32" s="408">
        <v>12</v>
      </c>
      <c r="P32" s="409">
        <f>SUM(L32:O32)</f>
        <v>20</v>
      </c>
      <c r="Q32" s="397" t="s">
        <v>22</v>
      </c>
      <c r="R32" s="397" t="s">
        <v>30</v>
      </c>
      <c r="S32" s="409">
        <v>8</v>
      </c>
      <c r="T32" s="416" t="s">
        <v>77</v>
      </c>
      <c r="U32" s="416" t="s">
        <v>68</v>
      </c>
      <c r="V32" s="399">
        <v>2</v>
      </c>
      <c r="W32" s="416" t="s">
        <v>78</v>
      </c>
      <c r="X32" s="421">
        <f>Y32+Z32+AA32</f>
        <v>0</v>
      </c>
      <c r="Y32" s="420">
        <v>0</v>
      </c>
      <c r="Z32" s="420">
        <v>0</v>
      </c>
      <c r="AA32" s="420">
        <v>0</v>
      </c>
      <c r="AB32" s="419"/>
      <c r="AC32" s="420">
        <v>0</v>
      </c>
      <c r="AD32" s="392" t="s">
        <v>675</v>
      </c>
      <c r="AE32" s="430" t="s">
        <v>613</v>
      </c>
      <c r="AF32" s="337" t="s">
        <v>588</v>
      </c>
      <c r="AG32" s="337" t="s">
        <v>538</v>
      </c>
      <c r="AH32" s="391" t="s">
        <v>591</v>
      </c>
    </row>
    <row r="33" spans="1:34" ht="32.25" customHeight="1" x14ac:dyDescent="0.3">
      <c r="A33" s="18"/>
      <c r="B33" s="19"/>
      <c r="C33" s="19"/>
      <c r="D33" s="19"/>
      <c r="E33" s="19"/>
      <c r="F33" s="20"/>
      <c r="G33" s="19"/>
      <c r="H33" s="19"/>
      <c r="I33" s="633" t="s">
        <v>38</v>
      </c>
      <c r="J33" s="633"/>
      <c r="K33" s="633"/>
      <c r="L33" s="633"/>
      <c r="M33" s="633"/>
      <c r="N33" s="633"/>
      <c r="O33" s="633"/>
      <c r="P33" s="633"/>
      <c r="Q33" s="633"/>
      <c r="R33" s="633"/>
      <c r="S33" s="633"/>
      <c r="T33" s="633"/>
      <c r="U33" s="633"/>
      <c r="V33" s="633"/>
      <c r="W33" s="633"/>
      <c r="X33" s="633"/>
      <c r="Y33" s="633"/>
      <c r="Z33" s="633"/>
      <c r="AA33" s="633"/>
      <c r="AB33" s="633"/>
      <c r="AC33" s="633"/>
      <c r="AD33" s="629"/>
      <c r="AE33" s="630"/>
      <c r="AF33" s="630"/>
      <c r="AG33" s="630"/>
    </row>
    <row r="34" spans="1:34" ht="28.5" customHeight="1" x14ac:dyDescent="0.3">
      <c r="A34" s="18"/>
      <c r="B34" s="19"/>
      <c r="C34" s="19"/>
      <c r="D34" s="19"/>
      <c r="E34" s="19"/>
      <c r="F34" s="20"/>
      <c r="G34" s="19"/>
      <c r="H34" s="19"/>
      <c r="I34" s="634" t="s">
        <v>3</v>
      </c>
      <c r="J34" s="634"/>
      <c r="K34" s="634"/>
      <c r="L34" s="634"/>
      <c r="M34" s="634"/>
      <c r="N34" s="634"/>
      <c r="O34" s="634"/>
      <c r="P34" s="634"/>
      <c r="Q34" s="634"/>
      <c r="R34" s="414"/>
      <c r="S34" s="634" t="s">
        <v>72</v>
      </c>
      <c r="T34" s="634"/>
      <c r="U34" s="634"/>
      <c r="V34" s="634"/>
      <c r="W34" s="634"/>
      <c r="X34" s="635" t="s">
        <v>4</v>
      </c>
      <c r="Y34" s="635"/>
      <c r="Z34" s="635"/>
      <c r="AA34" s="635"/>
      <c r="AB34" s="635"/>
      <c r="AC34" s="636" t="s">
        <v>40</v>
      </c>
      <c r="AD34" s="629"/>
      <c r="AE34" s="630"/>
      <c r="AF34" s="630"/>
      <c r="AG34" s="630"/>
    </row>
    <row r="35" spans="1:34" s="12" customFormat="1" ht="88.5" customHeight="1" x14ac:dyDescent="0.25">
      <c r="A35" s="22" t="s">
        <v>5</v>
      </c>
      <c r="B35" s="22" t="s">
        <v>6</v>
      </c>
      <c r="C35" s="22" t="s">
        <v>7</v>
      </c>
      <c r="D35" s="22" t="s">
        <v>8</v>
      </c>
      <c r="E35" s="22" t="s">
        <v>9</v>
      </c>
      <c r="F35" s="23" t="s">
        <v>5</v>
      </c>
      <c r="G35" s="24" t="s">
        <v>10</v>
      </c>
      <c r="H35" s="25"/>
      <c r="I35" s="395" t="s">
        <v>51</v>
      </c>
      <c r="J35" s="395" t="s">
        <v>12</v>
      </c>
      <c r="K35" s="395" t="s">
        <v>52</v>
      </c>
      <c r="L35" s="395" t="s">
        <v>24</v>
      </c>
      <c r="M35" s="395" t="s">
        <v>25</v>
      </c>
      <c r="N35" s="395" t="s">
        <v>26</v>
      </c>
      <c r="O35" s="395" t="s">
        <v>27</v>
      </c>
      <c r="P35" s="395" t="s">
        <v>28</v>
      </c>
      <c r="Q35" s="395" t="s">
        <v>29</v>
      </c>
      <c r="R35" s="395" t="s">
        <v>47</v>
      </c>
      <c r="S35" s="396" t="s">
        <v>14</v>
      </c>
      <c r="T35" s="396" t="s">
        <v>79</v>
      </c>
      <c r="U35" s="396" t="s">
        <v>15</v>
      </c>
      <c r="V35" s="396" t="s">
        <v>16</v>
      </c>
      <c r="W35" s="395" t="s">
        <v>48</v>
      </c>
      <c r="X35" s="396" t="s">
        <v>17</v>
      </c>
      <c r="Y35" s="396" t="s">
        <v>18</v>
      </c>
      <c r="Z35" s="396" t="s">
        <v>19</v>
      </c>
      <c r="AA35" s="396" t="s">
        <v>20</v>
      </c>
      <c r="AB35" s="396" t="s">
        <v>21</v>
      </c>
      <c r="AC35" s="636"/>
      <c r="AD35" s="629"/>
      <c r="AE35" s="630"/>
      <c r="AF35" s="630"/>
      <c r="AG35" s="630"/>
    </row>
    <row r="36" spans="1:34" s="15" customFormat="1" ht="81.75" customHeight="1" x14ac:dyDescent="0.25">
      <c r="A36" s="29"/>
      <c r="B36" s="30"/>
      <c r="C36" s="30"/>
      <c r="D36" s="27"/>
      <c r="E36" s="27"/>
      <c r="F36" s="29"/>
      <c r="G36" s="27"/>
      <c r="H36" s="27"/>
      <c r="I36" s="631" t="s">
        <v>33</v>
      </c>
      <c r="J36" s="644" t="s">
        <v>57</v>
      </c>
      <c r="K36" s="644" t="s">
        <v>69</v>
      </c>
      <c r="L36" s="645">
        <v>180</v>
      </c>
      <c r="M36" s="646">
        <v>200</v>
      </c>
      <c r="N36" s="646">
        <v>220</v>
      </c>
      <c r="O36" s="646">
        <v>250</v>
      </c>
      <c r="P36" s="651">
        <f>+O36</f>
        <v>250</v>
      </c>
      <c r="Q36" s="652" t="s">
        <v>22</v>
      </c>
      <c r="R36" s="644" t="s">
        <v>30</v>
      </c>
      <c r="S36" s="651">
        <v>9</v>
      </c>
      <c r="T36" s="637" t="s">
        <v>367</v>
      </c>
      <c r="U36" s="407" t="s">
        <v>362</v>
      </c>
      <c r="V36" s="399">
        <f>M36</f>
        <v>200</v>
      </c>
      <c r="W36" s="653" t="s">
        <v>75</v>
      </c>
      <c r="X36" s="639">
        <f>Y36+Z36+AA36</f>
        <v>2886983533</v>
      </c>
      <c r="Y36" s="649">
        <f>290000000-10000000</f>
        <v>280000000</v>
      </c>
      <c r="Z36" s="649">
        <f>2672603475-65619942</f>
        <v>2606983533</v>
      </c>
      <c r="AA36" s="643">
        <v>0</v>
      </c>
      <c r="AB36" s="402"/>
      <c r="AC36" s="643">
        <v>0</v>
      </c>
      <c r="AD36" s="431" t="s">
        <v>676</v>
      </c>
      <c r="AE36" s="430" t="s">
        <v>540</v>
      </c>
      <c r="AF36" s="641" t="s">
        <v>539</v>
      </c>
      <c r="AG36" s="642" t="s">
        <v>614</v>
      </c>
      <c r="AH36" s="656" t="s">
        <v>541</v>
      </c>
    </row>
    <row r="37" spans="1:34" s="15" customFormat="1" ht="162.75" customHeight="1" x14ac:dyDescent="0.25">
      <c r="A37" s="29"/>
      <c r="B37" s="30"/>
      <c r="C37" s="30"/>
      <c r="D37" s="27"/>
      <c r="E37" s="27"/>
      <c r="F37" s="29"/>
      <c r="G37" s="27"/>
      <c r="H37" s="27"/>
      <c r="I37" s="631"/>
      <c r="J37" s="644"/>
      <c r="K37" s="644"/>
      <c r="L37" s="645"/>
      <c r="M37" s="646"/>
      <c r="N37" s="646"/>
      <c r="O37" s="646"/>
      <c r="P37" s="651"/>
      <c r="Q37" s="652"/>
      <c r="R37" s="644"/>
      <c r="S37" s="651"/>
      <c r="T37" s="638"/>
      <c r="U37" s="416" t="s">
        <v>99</v>
      </c>
      <c r="V37" s="399">
        <v>200</v>
      </c>
      <c r="W37" s="653"/>
      <c r="X37" s="639"/>
      <c r="Y37" s="650"/>
      <c r="Z37" s="650"/>
      <c r="AA37" s="643"/>
      <c r="AB37" s="402"/>
      <c r="AC37" s="643"/>
      <c r="AD37" s="431" t="s">
        <v>677</v>
      </c>
      <c r="AE37" s="337" t="s">
        <v>542</v>
      </c>
      <c r="AF37" s="641"/>
      <c r="AG37" s="642"/>
      <c r="AH37" s="656"/>
    </row>
    <row r="38" spans="1:34" s="15" customFormat="1" ht="32.25" customHeight="1" x14ac:dyDescent="0.25">
      <c r="A38" s="29"/>
      <c r="B38" s="30"/>
      <c r="C38" s="30"/>
      <c r="D38" s="27"/>
      <c r="E38" s="27"/>
      <c r="F38" s="29"/>
      <c r="G38" s="27"/>
      <c r="H38" s="27"/>
      <c r="I38" s="633" t="s">
        <v>67</v>
      </c>
      <c r="J38" s="633"/>
      <c r="K38" s="633"/>
      <c r="L38" s="633"/>
      <c r="M38" s="633"/>
      <c r="N38" s="633"/>
      <c r="O38" s="633"/>
      <c r="P38" s="633"/>
      <c r="Q38" s="633"/>
      <c r="R38" s="633"/>
      <c r="S38" s="633"/>
      <c r="T38" s="633"/>
      <c r="U38" s="633"/>
      <c r="V38" s="633"/>
      <c r="W38" s="633"/>
      <c r="X38" s="633"/>
      <c r="Y38" s="633"/>
      <c r="Z38" s="633"/>
      <c r="AA38" s="633"/>
      <c r="AB38" s="633"/>
      <c r="AC38" s="633"/>
      <c r="AD38" s="657"/>
      <c r="AE38" s="658"/>
      <c r="AF38" s="658"/>
      <c r="AG38" s="658"/>
    </row>
    <row r="39" spans="1:34" ht="32.25" customHeight="1" x14ac:dyDescent="0.3">
      <c r="A39" s="18"/>
      <c r="B39" s="19"/>
      <c r="C39" s="19"/>
      <c r="D39" s="19"/>
      <c r="E39" s="19"/>
      <c r="F39" s="20"/>
      <c r="G39" s="19"/>
      <c r="H39" s="19"/>
      <c r="I39" s="633" t="s">
        <v>46</v>
      </c>
      <c r="J39" s="633"/>
      <c r="K39" s="633"/>
      <c r="L39" s="633"/>
      <c r="M39" s="633"/>
      <c r="N39" s="633"/>
      <c r="O39" s="633"/>
      <c r="P39" s="633"/>
      <c r="Q39" s="633"/>
      <c r="R39" s="633"/>
      <c r="S39" s="633"/>
      <c r="T39" s="633"/>
      <c r="U39" s="633"/>
      <c r="V39" s="633"/>
      <c r="W39" s="633"/>
      <c r="X39" s="633"/>
      <c r="Y39" s="633"/>
      <c r="Z39" s="633"/>
      <c r="AA39" s="633"/>
      <c r="AB39" s="633"/>
      <c r="AC39" s="633"/>
      <c r="AD39" s="657"/>
      <c r="AE39" s="658"/>
      <c r="AF39" s="658"/>
      <c r="AG39" s="658"/>
    </row>
    <row r="40" spans="1:34" ht="33" customHeight="1" x14ac:dyDescent="0.3">
      <c r="A40" s="18"/>
      <c r="B40" s="19"/>
      <c r="C40" s="19"/>
      <c r="D40" s="19"/>
      <c r="E40" s="19"/>
      <c r="F40" s="20"/>
      <c r="G40" s="19"/>
      <c r="H40" s="19"/>
      <c r="I40" s="633" t="s">
        <v>39</v>
      </c>
      <c r="J40" s="633"/>
      <c r="K40" s="633"/>
      <c r="L40" s="633"/>
      <c r="M40" s="633"/>
      <c r="N40" s="633"/>
      <c r="O40" s="633"/>
      <c r="P40" s="633"/>
      <c r="Q40" s="633"/>
      <c r="R40" s="633"/>
      <c r="S40" s="633"/>
      <c r="T40" s="633"/>
      <c r="U40" s="633"/>
      <c r="V40" s="633"/>
      <c r="W40" s="633"/>
      <c r="X40" s="633"/>
      <c r="Y40" s="633"/>
      <c r="Z40" s="633"/>
      <c r="AA40" s="633"/>
      <c r="AB40" s="633"/>
      <c r="AC40" s="633"/>
      <c r="AD40" s="657"/>
      <c r="AE40" s="658"/>
      <c r="AF40" s="658"/>
      <c r="AG40" s="658"/>
    </row>
    <row r="41" spans="1:34" ht="20.25" customHeight="1" x14ac:dyDescent="0.3">
      <c r="A41" s="18"/>
      <c r="B41" s="19"/>
      <c r="C41" s="19"/>
      <c r="D41" s="19"/>
      <c r="E41" s="19"/>
      <c r="F41" s="20"/>
      <c r="G41" s="19"/>
      <c r="H41" s="19"/>
      <c r="I41" s="634" t="s">
        <v>3</v>
      </c>
      <c r="J41" s="634"/>
      <c r="K41" s="634"/>
      <c r="L41" s="634"/>
      <c r="M41" s="634"/>
      <c r="N41" s="634"/>
      <c r="O41" s="634"/>
      <c r="P41" s="634"/>
      <c r="Q41" s="634"/>
      <c r="R41" s="414"/>
      <c r="S41" s="634" t="s">
        <v>72</v>
      </c>
      <c r="T41" s="634"/>
      <c r="U41" s="634"/>
      <c r="V41" s="634"/>
      <c r="W41" s="634"/>
      <c r="X41" s="635" t="s">
        <v>4</v>
      </c>
      <c r="Y41" s="635"/>
      <c r="Z41" s="635"/>
      <c r="AA41" s="635"/>
      <c r="AB41" s="635"/>
      <c r="AC41" s="636" t="s">
        <v>40</v>
      </c>
      <c r="AD41" s="657"/>
      <c r="AE41" s="658"/>
      <c r="AF41" s="658"/>
      <c r="AG41" s="658"/>
    </row>
    <row r="42" spans="1:34" s="12" customFormat="1" ht="66.75" customHeight="1" x14ac:dyDescent="0.25">
      <c r="A42" s="22" t="s">
        <v>5</v>
      </c>
      <c r="B42" s="22" t="s">
        <v>6</v>
      </c>
      <c r="C42" s="22" t="s">
        <v>7</v>
      </c>
      <c r="D42" s="22" t="s">
        <v>8</v>
      </c>
      <c r="E42" s="22" t="s">
        <v>9</v>
      </c>
      <c r="F42" s="23" t="s">
        <v>5</v>
      </c>
      <c r="G42" s="24" t="s">
        <v>10</v>
      </c>
      <c r="H42" s="25"/>
      <c r="I42" s="395" t="s">
        <v>51</v>
      </c>
      <c r="J42" s="395" t="s">
        <v>12</v>
      </c>
      <c r="K42" s="395" t="s">
        <v>52</v>
      </c>
      <c r="L42" s="395" t="s">
        <v>24</v>
      </c>
      <c r="M42" s="395" t="s">
        <v>25</v>
      </c>
      <c r="N42" s="395" t="s">
        <v>26</v>
      </c>
      <c r="O42" s="395" t="s">
        <v>27</v>
      </c>
      <c r="P42" s="395" t="s">
        <v>28</v>
      </c>
      <c r="Q42" s="395" t="s">
        <v>29</v>
      </c>
      <c r="R42" s="395" t="s">
        <v>47</v>
      </c>
      <c r="S42" s="396" t="s">
        <v>14</v>
      </c>
      <c r="T42" s="396" t="s">
        <v>79</v>
      </c>
      <c r="U42" s="396" t="s">
        <v>15</v>
      </c>
      <c r="V42" s="396" t="s">
        <v>16</v>
      </c>
      <c r="W42" s="395" t="s">
        <v>48</v>
      </c>
      <c r="X42" s="396" t="s">
        <v>17</v>
      </c>
      <c r="Y42" s="396" t="s">
        <v>18</v>
      </c>
      <c r="Z42" s="396" t="s">
        <v>19</v>
      </c>
      <c r="AA42" s="396" t="s">
        <v>20</v>
      </c>
      <c r="AB42" s="396" t="s">
        <v>21</v>
      </c>
      <c r="AC42" s="636"/>
      <c r="AD42" s="657"/>
      <c r="AE42" s="658"/>
      <c r="AF42" s="658"/>
      <c r="AG42" s="658"/>
    </row>
    <row r="43" spans="1:34" s="14" customFormat="1" ht="78" customHeight="1" x14ac:dyDescent="0.3">
      <c r="A43" s="26"/>
      <c r="B43" s="21"/>
      <c r="C43" s="21"/>
      <c r="D43" s="21"/>
      <c r="E43" s="21"/>
      <c r="F43" s="26"/>
      <c r="G43" s="21"/>
      <c r="H43" s="21"/>
      <c r="I43" s="631" t="s">
        <v>54</v>
      </c>
      <c r="J43" s="422" t="s">
        <v>45</v>
      </c>
      <c r="K43" s="397" t="s">
        <v>70</v>
      </c>
      <c r="L43" s="408">
        <v>5</v>
      </c>
      <c r="M43" s="408">
        <v>10</v>
      </c>
      <c r="N43" s="408">
        <v>1</v>
      </c>
      <c r="O43" s="408">
        <v>0</v>
      </c>
      <c r="P43" s="409">
        <f>SUM(L43:O43)</f>
        <v>16</v>
      </c>
      <c r="Q43" s="397" t="s">
        <v>22</v>
      </c>
      <c r="R43" s="423" t="s">
        <v>30</v>
      </c>
      <c r="S43" s="409">
        <v>10</v>
      </c>
      <c r="T43" s="423" t="s">
        <v>104</v>
      </c>
      <c r="U43" s="423" t="s">
        <v>105</v>
      </c>
      <c r="V43" s="424">
        <v>10</v>
      </c>
      <c r="W43" s="425" t="s">
        <v>76</v>
      </c>
      <c r="X43" s="421">
        <f>Y43+Z43+AA43</f>
        <v>0</v>
      </c>
      <c r="Y43" s="420">
        <v>0</v>
      </c>
      <c r="Z43" s="420">
        <v>0</v>
      </c>
      <c r="AA43" s="420">
        <v>0</v>
      </c>
      <c r="AB43" s="402"/>
      <c r="AC43" s="420">
        <v>0</v>
      </c>
      <c r="AD43" s="392" t="s">
        <v>678</v>
      </c>
      <c r="AE43" s="430" t="s">
        <v>604</v>
      </c>
      <c r="AF43" s="430" t="s">
        <v>587</v>
      </c>
      <c r="AG43" s="659" t="s">
        <v>615</v>
      </c>
      <c r="AH43" s="432" t="s">
        <v>592</v>
      </c>
    </row>
    <row r="44" spans="1:34" s="14" customFormat="1" ht="108" customHeight="1" x14ac:dyDescent="0.3">
      <c r="A44" s="26"/>
      <c r="B44" s="21"/>
      <c r="C44" s="21"/>
      <c r="D44" s="21"/>
      <c r="E44" s="21"/>
      <c r="F44" s="26"/>
      <c r="G44" s="21"/>
      <c r="H44" s="21"/>
      <c r="I44" s="631"/>
      <c r="J44" s="397" t="s">
        <v>55</v>
      </c>
      <c r="K44" s="397" t="s">
        <v>56</v>
      </c>
      <c r="L44" s="408">
        <v>0</v>
      </c>
      <c r="M44" s="408">
        <v>2</v>
      </c>
      <c r="N44" s="408">
        <v>2</v>
      </c>
      <c r="O44" s="408">
        <v>2</v>
      </c>
      <c r="P44" s="409">
        <f>SUM(L44:O44)</f>
        <v>6</v>
      </c>
      <c r="Q44" s="397" t="s">
        <v>22</v>
      </c>
      <c r="R44" s="423" t="s">
        <v>30</v>
      </c>
      <c r="S44" s="409">
        <v>11</v>
      </c>
      <c r="T44" s="423" t="s">
        <v>106</v>
      </c>
      <c r="U44" s="423" t="s">
        <v>105</v>
      </c>
      <c r="V44" s="424">
        <v>2</v>
      </c>
      <c r="W44" s="425" t="s">
        <v>76</v>
      </c>
      <c r="X44" s="421">
        <f>Y44+Z44+AA44</f>
        <v>0</v>
      </c>
      <c r="Y44" s="420">
        <v>0</v>
      </c>
      <c r="Z44" s="420">
        <v>0</v>
      </c>
      <c r="AA44" s="420">
        <v>0</v>
      </c>
      <c r="AB44" s="402"/>
      <c r="AC44" s="420">
        <v>0</v>
      </c>
      <c r="AD44" s="392" t="s">
        <v>679</v>
      </c>
      <c r="AE44" s="430" t="s">
        <v>605</v>
      </c>
      <c r="AF44" s="430" t="s">
        <v>593</v>
      </c>
      <c r="AG44" s="660"/>
      <c r="AH44" s="432" t="s">
        <v>592</v>
      </c>
    </row>
    <row r="45" spans="1:34" ht="36.75" customHeight="1" x14ac:dyDescent="0.25">
      <c r="I45" s="632" t="s">
        <v>53</v>
      </c>
      <c r="J45" s="632"/>
      <c r="K45" s="632"/>
      <c r="L45" s="632"/>
      <c r="M45" s="632"/>
      <c r="N45" s="632"/>
      <c r="O45" s="632"/>
      <c r="P45" s="632"/>
      <c r="Q45" s="632"/>
      <c r="R45" s="632"/>
      <c r="S45" s="632"/>
      <c r="T45" s="632"/>
      <c r="U45" s="632"/>
      <c r="V45" s="632"/>
      <c r="W45" s="632"/>
      <c r="X45" s="426">
        <f>Y45+Z45+AA45</f>
        <v>3499185124</v>
      </c>
      <c r="Y45" s="426">
        <f>SUBTOTAL(9,Y11:Y44)</f>
        <v>892201591</v>
      </c>
      <c r="Z45" s="426">
        <f>SUBTOTAL(9,Z1:Z44)</f>
        <v>2606983533</v>
      </c>
      <c r="AA45" s="427">
        <f>SUBTOTAL(9,AA11:AA44)</f>
        <v>0</v>
      </c>
      <c r="AB45" s="426">
        <f>SUBTOTAL(9,AB11:AB43)</f>
        <v>0</v>
      </c>
      <c r="AC45" s="426">
        <f>SUBTOTAL(9,AC11:AC44)</f>
        <v>47383335</v>
      </c>
    </row>
    <row r="46" spans="1:34" ht="70.5" customHeight="1" x14ac:dyDescent="0.2">
      <c r="I46" s="626" t="s">
        <v>556</v>
      </c>
      <c r="J46" s="626"/>
      <c r="K46" s="626"/>
      <c r="L46" s="626"/>
      <c r="M46" s="626"/>
      <c r="N46" s="626"/>
      <c r="O46" s="626"/>
      <c r="P46" s="626"/>
      <c r="Q46" s="626"/>
      <c r="R46" s="626"/>
      <c r="S46" s="626"/>
      <c r="T46" s="626"/>
      <c r="U46" s="626"/>
      <c r="V46" s="626"/>
      <c r="W46" s="626"/>
      <c r="X46" s="626"/>
      <c r="Y46" s="626"/>
      <c r="Z46" s="626"/>
      <c r="AA46" s="626"/>
      <c r="AB46" s="626"/>
      <c r="AC46" s="626"/>
    </row>
    <row r="48" spans="1:34" x14ac:dyDescent="0.2">
      <c r="I48" s="343" t="s">
        <v>415</v>
      </c>
    </row>
    <row r="49" spans="9:25" s="9" customFormat="1" ht="18" x14ac:dyDescent="0.25">
      <c r="I49" s="294" t="s">
        <v>421</v>
      </c>
      <c r="X49" s="38"/>
      <c r="Y49" s="38"/>
    </row>
    <row r="52" spans="9:25" s="9" customFormat="1" x14ac:dyDescent="0.2"/>
  </sheetData>
  <dataConsolidate/>
  <mergeCells count="78">
    <mergeCell ref="AH36:AH37"/>
    <mergeCell ref="AD38:AG42"/>
    <mergeCell ref="AG43:AG44"/>
    <mergeCell ref="I12:AC12"/>
    <mergeCell ref="U2:AC2"/>
    <mergeCell ref="U3:AC3"/>
    <mergeCell ref="U4:AC4"/>
    <mergeCell ref="I6:AB6"/>
    <mergeCell ref="I7:AC7"/>
    <mergeCell ref="I13:Q13"/>
    <mergeCell ref="R13:W13"/>
    <mergeCell ref="X13:AB13"/>
    <mergeCell ref="AC13:AC14"/>
    <mergeCell ref="I15:I19"/>
    <mergeCell ref="J15:J19"/>
    <mergeCell ref="K15:K19"/>
    <mergeCell ref="L15:L19"/>
    <mergeCell ref="M15:M19"/>
    <mergeCell ref="N15:N19"/>
    <mergeCell ref="I26:AC26"/>
    <mergeCell ref="O15:O19"/>
    <mergeCell ref="P15:P19"/>
    <mergeCell ref="Q15:Q19"/>
    <mergeCell ref="R15:R19"/>
    <mergeCell ref="I20:AB20"/>
    <mergeCell ref="I21:AC21"/>
    <mergeCell ref="I22:AC22"/>
    <mergeCell ref="I23:Q23"/>
    <mergeCell ref="R23:W23"/>
    <mergeCell ref="X23:AB23"/>
    <mergeCell ref="AC23:AC24"/>
    <mergeCell ref="I28:AC28"/>
    <mergeCell ref="I29:Q29"/>
    <mergeCell ref="S29:W29"/>
    <mergeCell ref="X29:AB29"/>
    <mergeCell ref="AC29:AC30"/>
    <mergeCell ref="Y36:Y37"/>
    <mergeCell ref="Z36:Z37"/>
    <mergeCell ref="AA36:AA37"/>
    <mergeCell ref="N36:N37"/>
    <mergeCell ref="O36:O37"/>
    <mergeCell ref="P36:P37"/>
    <mergeCell ref="Q36:Q37"/>
    <mergeCell ref="R36:R37"/>
    <mergeCell ref="S36:S37"/>
    <mergeCell ref="W36:W37"/>
    <mergeCell ref="AE12:AG12"/>
    <mergeCell ref="AF36:AF37"/>
    <mergeCell ref="AG36:AG37"/>
    <mergeCell ref="AC36:AC37"/>
    <mergeCell ref="I33:AC33"/>
    <mergeCell ref="I34:Q34"/>
    <mergeCell ref="S34:W34"/>
    <mergeCell ref="X34:AB34"/>
    <mergeCell ref="AC34:AC35"/>
    <mergeCell ref="I36:I37"/>
    <mergeCell ref="J36:J37"/>
    <mergeCell ref="K36:K37"/>
    <mergeCell ref="L36:L37"/>
    <mergeCell ref="M36:M37"/>
    <mergeCell ref="AE13:AF13"/>
    <mergeCell ref="I27:AC27"/>
    <mergeCell ref="AG13:AG14"/>
    <mergeCell ref="I46:AC46"/>
    <mergeCell ref="AD20:AG24"/>
    <mergeCell ref="AD26:AG30"/>
    <mergeCell ref="AD33:AG35"/>
    <mergeCell ref="I43:I44"/>
    <mergeCell ref="I45:W45"/>
    <mergeCell ref="I38:AC38"/>
    <mergeCell ref="I39:AC39"/>
    <mergeCell ref="I40:AC40"/>
    <mergeCell ref="I41:Q41"/>
    <mergeCell ref="S41:W41"/>
    <mergeCell ref="X41:AB41"/>
    <mergeCell ref="AC41:AC42"/>
    <mergeCell ref="T36:T37"/>
    <mergeCell ref="X36:X37"/>
  </mergeCells>
  <conditionalFormatting sqref="L32:O32">
    <cfRule type="expression" dxfId="112" priority="39" stopIfTrue="1">
      <formula>+IF((#REF!+#REF!+#REF!+#REF!+#REF!)&lt;&gt;$L32,1,0)</formula>
    </cfRule>
  </conditionalFormatting>
  <conditionalFormatting sqref="J11:K11 J15:K18 J32:K32 W32 AB32">
    <cfRule type="expression" dxfId="111" priority="38" stopIfTrue="1">
      <formula>+IF((#REF!+#REF!+#REF!+#REF!+#REF!)&lt;&gt;$M11,1,0)</formula>
    </cfRule>
  </conditionalFormatting>
  <conditionalFormatting sqref="L43:O44">
    <cfRule type="expression" dxfId="110" priority="37" stopIfTrue="1">
      <formula>+IF((#REF!+#REF!+#REF!+#REF!+#REF!)&lt;&gt;$L43,1,0)</formula>
    </cfRule>
  </conditionalFormatting>
  <conditionalFormatting sqref="L15:O18">
    <cfRule type="expression" dxfId="109" priority="36" stopIfTrue="1">
      <formula>+IF((#REF!+#REF!+#REF!+#REF!+#REF!)&lt;&gt;$L15,1,0)</formula>
    </cfRule>
  </conditionalFormatting>
  <conditionalFormatting sqref="J11">
    <cfRule type="expression" dxfId="108" priority="35" stopIfTrue="1">
      <formula>+IF((#REF!+#REF!+#REF!+#REF!+#REF!)&lt;&gt;$M11,1,0)</formula>
    </cfRule>
  </conditionalFormatting>
  <conditionalFormatting sqref="K11">
    <cfRule type="expression" dxfId="107" priority="34" stopIfTrue="1">
      <formula>+IF((#REF!+#REF!+#REF!+#REF!+#REF!)&lt;&gt;$M11,1,0)</formula>
    </cfRule>
  </conditionalFormatting>
  <conditionalFormatting sqref="L32:O32">
    <cfRule type="expression" dxfId="106" priority="33" stopIfTrue="1">
      <formula>+IF((#REF!+#REF!+#REF!+#REF!+#REF!)&lt;&gt;$L32,1,0)</formula>
    </cfRule>
  </conditionalFormatting>
  <conditionalFormatting sqref="J32">
    <cfRule type="expression" dxfId="105" priority="32" stopIfTrue="1">
      <formula>+IF((#REF!+#REF!+#REF!+#REF!+#REF!)&lt;&gt;$M32,1,0)</formula>
    </cfRule>
  </conditionalFormatting>
  <conditionalFormatting sqref="K32 W32 AB32">
    <cfRule type="expression" dxfId="104" priority="31" stopIfTrue="1">
      <formula>+IF((#REF!+#REF!+#REF!+#REF!+#REF!)&lt;&gt;$M32,1,0)</formula>
    </cfRule>
  </conditionalFormatting>
  <conditionalFormatting sqref="L43:O44">
    <cfRule type="expression" dxfId="103" priority="30" stopIfTrue="1">
      <formula>+IF((#REF!+#REF!+#REF!+#REF!+#REF!)&lt;&gt;$L43,1,0)</formula>
    </cfRule>
  </conditionalFormatting>
  <conditionalFormatting sqref="L24:O24">
    <cfRule type="expression" dxfId="102" priority="29" stopIfTrue="1">
      <formula>+IF((#REF!+#REF!+#REF!+#REF!+#REF!)&lt;&gt;$L24,1,0)</formula>
    </cfRule>
  </conditionalFormatting>
  <conditionalFormatting sqref="J24:K24">
    <cfRule type="expression" dxfId="101" priority="28" stopIfTrue="1">
      <formula>+IF((#REF!+#REF!+#REF!+#REF!+#REF!)&lt;&gt;$M24,1,0)</formula>
    </cfRule>
  </conditionalFormatting>
  <conditionalFormatting sqref="L24:O24">
    <cfRule type="expression" dxfId="100" priority="27" stopIfTrue="1">
      <formula>+IF((#REF!+#REF!+#REF!+#REF!+#REF!)&lt;&gt;$L24,1,0)</formula>
    </cfRule>
  </conditionalFormatting>
  <conditionalFormatting sqref="J24">
    <cfRule type="expression" dxfId="99" priority="26" stopIfTrue="1">
      <formula>+IF((#REF!+#REF!+#REF!+#REF!+#REF!)&lt;&gt;$M24,1,0)</formula>
    </cfRule>
  </conditionalFormatting>
  <conditionalFormatting sqref="K24">
    <cfRule type="expression" dxfId="98" priority="25" stopIfTrue="1">
      <formula>+IF((#REF!+#REF!+#REF!+#REF!+#REF!)&lt;&gt;$M24,1,0)</formula>
    </cfRule>
  </conditionalFormatting>
  <conditionalFormatting sqref="U36">
    <cfRule type="expression" dxfId="97" priority="22" stopIfTrue="1">
      <formula>+IF((#REF!+#REF!+#REF!+#REF!+#REF!)&lt;&gt;$M36,1,0)</formula>
    </cfRule>
  </conditionalFormatting>
  <conditionalFormatting sqref="V36:W36">
    <cfRule type="expression" dxfId="96" priority="24" stopIfTrue="1">
      <formula>+IF((#REF!+#REF!+#REF!+#REF!+#REF!)&lt;&gt;$L36,1,0)</formula>
    </cfRule>
  </conditionalFormatting>
  <conditionalFormatting sqref="V36:W36">
    <cfRule type="expression" dxfId="95" priority="23" stopIfTrue="1">
      <formula>+IF((#REF!+#REF!+#REF!+#REF!+#REF!)&lt;&gt;$L36,1,0)</formula>
    </cfRule>
  </conditionalFormatting>
  <conditionalFormatting sqref="U36">
    <cfRule type="expression" dxfId="94" priority="21" stopIfTrue="1">
      <formula>+IF((#REF!+#REF!+#REF!+#REF!+#REF!)&lt;&gt;$M36,1,0)</formula>
    </cfRule>
  </conditionalFormatting>
  <conditionalFormatting sqref="T32">
    <cfRule type="expression" dxfId="93" priority="20" stopIfTrue="1">
      <formula>+IF((#REF!+#REF!+#REF!+#REF!+#REF!)&lt;&gt;$M32,1,0)</formula>
    </cfRule>
  </conditionalFormatting>
  <conditionalFormatting sqref="T32">
    <cfRule type="expression" dxfId="92" priority="19" stopIfTrue="1">
      <formula>+IF((#REF!+#REF!+#REF!+#REF!+#REF!)&lt;&gt;$M32,1,0)</formula>
    </cfRule>
  </conditionalFormatting>
  <conditionalFormatting sqref="U32">
    <cfRule type="expression" dxfId="91" priority="18" stopIfTrue="1">
      <formula>+IF((#REF!+#REF!+#REF!+#REF!+#REF!)&lt;&gt;$M32,1,0)</formula>
    </cfRule>
  </conditionalFormatting>
  <conditionalFormatting sqref="U32">
    <cfRule type="expression" dxfId="90" priority="17" stopIfTrue="1">
      <formula>+IF((#REF!+#REF!+#REF!+#REF!+#REF!)&lt;&gt;$M32,1,0)</formula>
    </cfRule>
  </conditionalFormatting>
  <conditionalFormatting sqref="L31:O31">
    <cfRule type="expression" dxfId="89" priority="16" stopIfTrue="1">
      <formula>+IF((#REF!+#REF!+#REF!+#REF!+#REF!)&lt;&gt;$L31,1,0)</formula>
    </cfRule>
  </conditionalFormatting>
  <conditionalFormatting sqref="J31:K31">
    <cfRule type="expression" dxfId="88" priority="15" stopIfTrue="1">
      <formula>+IF((#REF!+#REF!+#REF!+#REF!+#REF!)&lt;&gt;$M31,1,0)</formula>
    </cfRule>
  </conditionalFormatting>
  <conditionalFormatting sqref="L31:O31">
    <cfRule type="expression" dxfId="87" priority="14" stopIfTrue="1">
      <formula>+IF((#REF!+#REF!+#REF!+#REF!+#REF!)&lt;&gt;$L31,1,0)</formula>
    </cfRule>
  </conditionalFormatting>
  <conditionalFormatting sqref="J31">
    <cfRule type="expression" dxfId="86" priority="13" stopIfTrue="1">
      <formula>+IF((#REF!+#REF!+#REF!+#REF!+#REF!)&lt;&gt;$M31,1,0)</formula>
    </cfRule>
  </conditionalFormatting>
  <conditionalFormatting sqref="K31">
    <cfRule type="expression" dxfId="85" priority="12" stopIfTrue="1">
      <formula>+IF((#REF!+#REF!+#REF!+#REF!+#REF!)&lt;&gt;$M31,1,0)</formula>
    </cfRule>
  </conditionalFormatting>
  <conditionalFormatting sqref="T31:U31 AB31 W31:X31">
    <cfRule type="expression" dxfId="84" priority="11" stopIfTrue="1">
      <formula>+IF((#REF!+#REF!+#REF!+#REF!+#REF!)&lt;&gt;$M31,1,0)</formula>
    </cfRule>
  </conditionalFormatting>
  <conditionalFormatting sqref="T31:U31 AB31 W31:X31">
    <cfRule type="expression" dxfId="83" priority="10" stopIfTrue="1">
      <formula>+IF((#REF!+#REF!+#REF!+#REF!+#REF!)&lt;&gt;$M31,1,0)</formula>
    </cfRule>
  </conditionalFormatting>
  <conditionalFormatting sqref="AC31">
    <cfRule type="expression" dxfId="82" priority="9" stopIfTrue="1">
      <formula>+IF((#REF!+#REF!+#REF!+#REF!+#REF!)&lt;&gt;$M31,1,0)</formula>
    </cfRule>
  </conditionalFormatting>
  <conditionalFormatting sqref="AC31">
    <cfRule type="expression" dxfId="81" priority="8" stopIfTrue="1">
      <formula>+IF((#REF!+#REF!+#REF!+#REF!+#REF!)&lt;&gt;$M31,1,0)</formula>
    </cfRule>
  </conditionalFormatting>
  <conditionalFormatting sqref="Y31">
    <cfRule type="expression" dxfId="80" priority="7" stopIfTrue="1">
      <formula>+IF((#REF!+#REF!+#REF!+#REF!+#REF!)&lt;&gt;$M31,1,0)</formula>
    </cfRule>
  </conditionalFormatting>
  <conditionalFormatting sqref="Y31">
    <cfRule type="expression" dxfId="79" priority="6" stopIfTrue="1">
      <formula>+IF((#REF!+#REF!+#REF!+#REF!+#REF!)&lt;&gt;$M31,1,0)</formula>
    </cfRule>
  </conditionalFormatting>
  <conditionalFormatting sqref="L36:O36">
    <cfRule type="expression" dxfId="78" priority="5" stopIfTrue="1">
      <formula>+IF((#REF!+#REF!+#REF!+#REF!+#REF!)&lt;&gt;$L36,1,0)</formula>
    </cfRule>
  </conditionalFormatting>
  <conditionalFormatting sqref="L36:O36 V37">
    <cfRule type="expression" dxfId="77" priority="4" stopIfTrue="1">
      <formula>+IF((#REF!+#REF!+#REF!+#REF!+#REF!)&lt;&gt;$L36,1,0)</formula>
    </cfRule>
  </conditionalFormatting>
  <conditionalFormatting sqref="V37">
    <cfRule type="expression" dxfId="76" priority="3" stopIfTrue="1">
      <formula>+IF((#REF!+#REF!+#REF!+#REF!+#REF!)&lt;&gt;$L37,1,0)</formula>
    </cfRule>
  </conditionalFormatting>
  <conditionalFormatting sqref="U37">
    <cfRule type="expression" dxfId="75" priority="2" stopIfTrue="1">
      <formula>+IF((#REF!+#REF!+#REF!+#REF!+#REF!)&lt;&gt;$M37,1,0)</formula>
    </cfRule>
  </conditionalFormatting>
  <conditionalFormatting sqref="U37">
    <cfRule type="expression" dxfId="74" priority="1" stopIfTrue="1">
      <formula>+IF((#REF!+#REF!+#REF!+#REF!+#REF!)&lt;&gt;$M37,1,0)</formula>
    </cfRule>
  </conditionalFormatting>
  <dataValidations count="1">
    <dataValidation type="list" allowBlank="1" showInputMessage="1" showErrorMessage="1" sqref="Q43:R44 Q31:R32 Q11:R11 Q15:R18 Q36:R36 Q38:R38">
      <formula1>#REF!</formula1>
    </dataValidation>
  </dataValidations>
  <pageMargins left="0.7" right="0.7" top="0.75" bottom="0.75" header="0.3" footer="0.3"/>
  <pageSetup scale="3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34"/>
  <sheetViews>
    <sheetView zoomScale="96" zoomScaleNormal="96" workbookViewId="0">
      <selection activeCell="I18" sqref="I18"/>
    </sheetView>
  </sheetViews>
  <sheetFormatPr baseColWidth="10" defaultColWidth="11.42578125" defaultRowHeight="16.5" x14ac:dyDescent="0.3"/>
  <cols>
    <col min="1" max="1" width="11.42578125" style="161"/>
    <col min="2" max="2" width="21.140625" style="161" customWidth="1"/>
    <col min="3" max="3" width="20" style="161" customWidth="1"/>
    <col min="4" max="4" width="11.42578125" style="161"/>
    <col min="5" max="5" width="6.7109375" style="161" customWidth="1"/>
    <col min="6" max="6" width="6" style="161" customWidth="1"/>
    <col min="7" max="7" width="6.140625" style="161" customWidth="1"/>
    <col min="8" max="8" width="6.42578125" style="161" customWidth="1"/>
    <col min="9" max="10" width="11.42578125" style="161"/>
    <col min="11" max="11" width="13.85546875" style="161" customWidth="1"/>
    <col min="12" max="12" width="5.140625" style="161" customWidth="1"/>
    <col min="13" max="13" width="15.28515625" style="161" customWidth="1"/>
    <col min="14" max="14" width="14.7109375" style="161" customWidth="1"/>
    <col min="15" max="15" width="11.42578125" style="161"/>
    <col min="16" max="16" width="15.5703125" style="161" customWidth="1"/>
    <col min="17" max="17" width="17.140625" style="161" customWidth="1"/>
    <col min="18" max="18" width="16.28515625" style="161" customWidth="1"/>
    <col min="19" max="19" width="14" style="161" customWidth="1"/>
    <col min="20" max="20" width="18.140625" style="161" customWidth="1"/>
    <col min="21" max="21" width="17.5703125" style="161" customWidth="1"/>
    <col min="22" max="16384" width="11.42578125" style="161"/>
  </cols>
  <sheetData>
    <row r="2" spans="2:21" ht="18.75" x14ac:dyDescent="0.3">
      <c r="R2" s="674" t="s">
        <v>325</v>
      </c>
      <c r="S2" s="674"/>
      <c r="T2" s="674"/>
      <c r="U2" s="674"/>
    </row>
    <row r="3" spans="2:21" x14ac:dyDescent="0.3">
      <c r="L3" s="675" t="s">
        <v>0</v>
      </c>
      <c r="M3" s="675"/>
      <c r="N3" s="675"/>
      <c r="O3" s="675"/>
      <c r="P3" s="675"/>
      <c r="Q3" s="675"/>
      <c r="R3" s="675"/>
      <c r="S3" s="675"/>
      <c r="T3" s="675"/>
      <c r="U3" s="675"/>
    </row>
    <row r="4" spans="2:21" ht="33.75" customHeight="1" x14ac:dyDescent="0.3">
      <c r="L4" s="676"/>
      <c r="M4" s="676"/>
      <c r="N4" s="676"/>
      <c r="O4" s="676"/>
      <c r="P4" s="676"/>
      <c r="Q4" s="676"/>
      <c r="R4" s="676"/>
      <c r="S4" s="676"/>
      <c r="T4" s="676"/>
      <c r="U4" s="676"/>
    </row>
    <row r="5" spans="2:21" x14ac:dyDescent="0.3">
      <c r="B5" s="521" t="s">
        <v>23</v>
      </c>
      <c r="C5" s="521"/>
      <c r="D5" s="521"/>
      <c r="E5" s="521"/>
      <c r="F5" s="521"/>
      <c r="G5" s="521"/>
      <c r="H5" s="521"/>
      <c r="I5" s="521"/>
      <c r="J5" s="521"/>
      <c r="K5" s="521"/>
      <c r="L5" s="521"/>
      <c r="M5" s="521"/>
      <c r="N5" s="521"/>
      <c r="O5" s="521"/>
      <c r="P5" s="521"/>
      <c r="Q5" s="521"/>
      <c r="R5" s="521"/>
      <c r="S5" s="521"/>
      <c r="T5" s="521"/>
      <c r="U5" s="521"/>
    </row>
    <row r="6" spans="2:21" x14ac:dyDescent="0.3">
      <c r="B6" s="521" t="s">
        <v>34</v>
      </c>
      <c r="C6" s="521"/>
      <c r="D6" s="521"/>
      <c r="E6" s="521"/>
      <c r="F6" s="521"/>
      <c r="G6" s="521"/>
      <c r="H6" s="521"/>
      <c r="I6" s="521"/>
      <c r="J6" s="521"/>
      <c r="K6" s="521"/>
      <c r="L6" s="521"/>
      <c r="M6" s="521"/>
      <c r="N6" s="521"/>
      <c r="O6" s="521"/>
      <c r="P6" s="521"/>
      <c r="Q6" s="521"/>
      <c r="R6" s="521"/>
      <c r="S6" s="521"/>
      <c r="T6" s="521"/>
      <c r="U6" s="521"/>
    </row>
    <row r="7" spans="2:21" x14ac:dyDescent="0.3">
      <c r="B7" s="521" t="s">
        <v>35</v>
      </c>
      <c r="C7" s="521"/>
      <c r="D7" s="521"/>
      <c r="E7" s="521"/>
      <c r="F7" s="521"/>
      <c r="G7" s="521"/>
      <c r="H7" s="521"/>
      <c r="I7" s="521"/>
      <c r="J7" s="521"/>
      <c r="K7" s="521"/>
      <c r="L7" s="521"/>
      <c r="M7" s="521"/>
      <c r="N7" s="521"/>
      <c r="O7" s="521"/>
      <c r="P7" s="521"/>
      <c r="Q7" s="521"/>
      <c r="R7" s="521"/>
      <c r="S7" s="521"/>
      <c r="T7" s="521"/>
      <c r="U7" s="521"/>
    </row>
    <row r="8" spans="2:21" x14ac:dyDescent="0.3">
      <c r="B8" s="515" t="s">
        <v>3</v>
      </c>
      <c r="C8" s="515"/>
      <c r="D8" s="515"/>
      <c r="E8" s="515"/>
      <c r="F8" s="515"/>
      <c r="G8" s="515"/>
      <c r="H8" s="515"/>
      <c r="I8" s="515"/>
      <c r="J8" s="515"/>
      <c r="K8" s="135"/>
      <c r="L8" s="515" t="s">
        <v>72</v>
      </c>
      <c r="M8" s="515"/>
      <c r="N8" s="515"/>
      <c r="O8" s="515"/>
      <c r="P8" s="515"/>
      <c r="Q8" s="509" t="s">
        <v>4</v>
      </c>
      <c r="R8" s="509"/>
      <c r="S8" s="509"/>
      <c r="T8" s="509"/>
      <c r="U8" s="520" t="s">
        <v>40</v>
      </c>
    </row>
    <row r="9" spans="2:21" ht="42.75" customHeight="1" x14ac:dyDescent="0.3">
      <c r="B9" s="85" t="s">
        <v>51</v>
      </c>
      <c r="C9" s="85" t="s">
        <v>12</v>
      </c>
      <c r="D9" s="85" t="s">
        <v>52</v>
      </c>
      <c r="E9" s="85" t="s">
        <v>24</v>
      </c>
      <c r="F9" s="85" t="s">
        <v>25</v>
      </c>
      <c r="G9" s="85" t="s">
        <v>26</v>
      </c>
      <c r="H9" s="85" t="s">
        <v>27</v>
      </c>
      <c r="I9" s="85" t="s">
        <v>28</v>
      </c>
      <c r="J9" s="85" t="s">
        <v>29</v>
      </c>
      <c r="K9" s="85" t="s">
        <v>47</v>
      </c>
      <c r="L9" s="86" t="s">
        <v>14</v>
      </c>
      <c r="M9" s="86" t="s">
        <v>79</v>
      </c>
      <c r="N9" s="86" t="s">
        <v>15</v>
      </c>
      <c r="O9" s="86" t="s">
        <v>16</v>
      </c>
      <c r="P9" s="136" t="s">
        <v>48</v>
      </c>
      <c r="Q9" s="86" t="s">
        <v>17</v>
      </c>
      <c r="R9" s="86" t="s">
        <v>18</v>
      </c>
      <c r="S9" s="86" t="s">
        <v>19</v>
      </c>
      <c r="T9" s="198" t="s">
        <v>361</v>
      </c>
      <c r="U9" s="520"/>
    </row>
    <row r="10" spans="2:21" x14ac:dyDescent="0.3">
      <c r="B10" s="517" t="s">
        <v>242</v>
      </c>
      <c r="C10" s="685" t="s">
        <v>243</v>
      </c>
      <c r="D10" s="686" t="s">
        <v>244</v>
      </c>
      <c r="E10" s="569">
        <v>4</v>
      </c>
      <c r="F10" s="569">
        <v>4</v>
      </c>
      <c r="G10" s="569">
        <v>4</v>
      </c>
      <c r="H10" s="569">
        <v>4</v>
      </c>
      <c r="I10" s="508">
        <f>SUM(E10:H10)</f>
        <v>16</v>
      </c>
      <c r="J10" s="498" t="s">
        <v>245</v>
      </c>
      <c r="K10" s="498" t="s">
        <v>113</v>
      </c>
      <c r="L10" s="683">
        <v>1</v>
      </c>
      <c r="M10" s="497" t="s">
        <v>246</v>
      </c>
      <c r="N10" s="500" t="s">
        <v>244</v>
      </c>
      <c r="O10" s="519">
        <v>4</v>
      </c>
      <c r="P10" s="498" t="s">
        <v>247</v>
      </c>
      <c r="Q10" s="572">
        <f>R10+S10+T10</f>
        <v>2855000000</v>
      </c>
      <c r="R10" s="510">
        <f>2905000000-50000000-343998590</f>
        <v>2511001410</v>
      </c>
      <c r="S10" s="510">
        <v>0</v>
      </c>
      <c r="T10" s="510">
        <v>343998590</v>
      </c>
      <c r="U10" s="510">
        <v>0</v>
      </c>
    </row>
    <row r="11" spans="2:21" ht="62.25" customHeight="1" x14ac:dyDescent="0.3">
      <c r="B11" s="517"/>
      <c r="C11" s="685"/>
      <c r="D11" s="686"/>
      <c r="E11" s="569"/>
      <c r="F11" s="569"/>
      <c r="G11" s="569"/>
      <c r="H11" s="569"/>
      <c r="I11" s="508"/>
      <c r="J11" s="498"/>
      <c r="K11" s="498"/>
      <c r="L11" s="683"/>
      <c r="M11" s="497"/>
      <c r="N11" s="500"/>
      <c r="O11" s="519"/>
      <c r="P11" s="498"/>
      <c r="Q11" s="572"/>
      <c r="R11" s="510"/>
      <c r="S11" s="510"/>
      <c r="T11" s="510"/>
      <c r="U11" s="510"/>
    </row>
    <row r="12" spans="2:21" ht="177.75" customHeight="1" x14ac:dyDescent="0.3">
      <c r="B12" s="54" t="s">
        <v>248</v>
      </c>
      <c r="C12" s="55" t="s">
        <v>249</v>
      </c>
      <c r="D12" s="55" t="s">
        <v>250</v>
      </c>
      <c r="E12" s="295">
        <v>0.1</v>
      </c>
      <c r="F12" s="219">
        <v>0.05</v>
      </c>
      <c r="G12" s="130">
        <v>0.15</v>
      </c>
      <c r="H12" s="130">
        <v>0.1</v>
      </c>
      <c r="I12" s="131">
        <f>SUM(E12:H12)</f>
        <v>0.4</v>
      </c>
      <c r="J12" s="59" t="s">
        <v>245</v>
      </c>
      <c r="K12" s="59" t="s">
        <v>113</v>
      </c>
      <c r="L12" s="683"/>
      <c r="M12" s="497"/>
      <c r="N12" s="313" t="s">
        <v>251</v>
      </c>
      <c r="O12" s="180">
        <v>0.05</v>
      </c>
      <c r="P12" s="498"/>
      <c r="Q12" s="572"/>
      <c r="R12" s="510"/>
      <c r="S12" s="510"/>
      <c r="T12" s="510"/>
      <c r="U12" s="510"/>
    </row>
    <row r="13" spans="2:21" x14ac:dyDescent="0.3">
      <c r="B13" s="521" t="s">
        <v>202</v>
      </c>
      <c r="C13" s="521"/>
      <c r="D13" s="521"/>
      <c r="E13" s="521"/>
      <c r="F13" s="521"/>
      <c r="G13" s="521"/>
      <c r="H13" s="521"/>
      <c r="I13" s="521"/>
      <c r="J13" s="521"/>
      <c r="K13" s="521"/>
      <c r="L13" s="521"/>
      <c r="M13" s="521"/>
      <c r="N13" s="521"/>
      <c r="O13" s="521"/>
      <c r="P13" s="521"/>
      <c r="Q13" s="521"/>
      <c r="R13" s="521"/>
      <c r="S13" s="521"/>
      <c r="T13" s="521"/>
      <c r="U13" s="521"/>
    </row>
    <row r="14" spans="2:21" x14ac:dyDescent="0.3">
      <c r="B14" s="521" t="s">
        <v>203</v>
      </c>
      <c r="C14" s="521"/>
      <c r="D14" s="521"/>
      <c r="E14" s="521"/>
      <c r="F14" s="521"/>
      <c r="G14" s="521"/>
      <c r="H14" s="521"/>
      <c r="I14" s="521"/>
      <c r="J14" s="521"/>
      <c r="K14" s="521"/>
      <c r="L14" s="521"/>
      <c r="M14" s="521"/>
      <c r="N14" s="521"/>
      <c r="O14" s="521"/>
      <c r="P14" s="521"/>
      <c r="Q14" s="521"/>
      <c r="R14" s="521"/>
      <c r="S14" s="521"/>
      <c r="T14" s="521"/>
      <c r="U14" s="521"/>
    </row>
    <row r="15" spans="2:21" x14ac:dyDescent="0.3">
      <c r="B15" s="521" t="s">
        <v>204</v>
      </c>
      <c r="C15" s="521"/>
      <c r="D15" s="521"/>
      <c r="E15" s="521"/>
      <c r="F15" s="521"/>
      <c r="G15" s="521"/>
      <c r="H15" s="521"/>
      <c r="I15" s="521"/>
      <c r="J15" s="521"/>
      <c r="K15" s="521"/>
      <c r="L15" s="521"/>
      <c r="M15" s="521"/>
      <c r="N15" s="521"/>
      <c r="O15" s="521"/>
      <c r="P15" s="521"/>
      <c r="Q15" s="521"/>
      <c r="R15" s="521"/>
      <c r="S15" s="521"/>
      <c r="T15" s="521"/>
      <c r="U15" s="521"/>
    </row>
    <row r="16" spans="2:21" x14ac:dyDescent="0.3">
      <c r="B16" s="515" t="s">
        <v>3</v>
      </c>
      <c r="C16" s="515"/>
      <c r="D16" s="515"/>
      <c r="E16" s="515"/>
      <c r="F16" s="515"/>
      <c r="G16" s="515"/>
      <c r="H16" s="515"/>
      <c r="I16" s="515"/>
      <c r="J16" s="515"/>
      <c r="K16" s="135"/>
      <c r="L16" s="515" t="s">
        <v>72</v>
      </c>
      <c r="M16" s="515"/>
      <c r="N16" s="515"/>
      <c r="O16" s="515"/>
      <c r="P16" s="515"/>
      <c r="Q16" s="509" t="s">
        <v>4</v>
      </c>
      <c r="R16" s="509"/>
      <c r="S16" s="509"/>
      <c r="T16" s="509"/>
      <c r="U16" s="520" t="s">
        <v>40</v>
      </c>
    </row>
    <row r="17" spans="2:21" ht="51" customHeight="1" x14ac:dyDescent="0.3">
      <c r="B17" s="85" t="s">
        <v>51</v>
      </c>
      <c r="C17" s="85" t="s">
        <v>12</v>
      </c>
      <c r="D17" s="85" t="s">
        <v>52</v>
      </c>
      <c r="E17" s="85" t="s">
        <v>24</v>
      </c>
      <c r="F17" s="85" t="s">
        <v>25</v>
      </c>
      <c r="G17" s="85" t="s">
        <v>26</v>
      </c>
      <c r="H17" s="85" t="s">
        <v>27</v>
      </c>
      <c r="I17" s="85" t="s">
        <v>28</v>
      </c>
      <c r="J17" s="85" t="s">
        <v>29</v>
      </c>
      <c r="K17" s="85" t="s">
        <v>47</v>
      </c>
      <c r="L17" s="86" t="s">
        <v>14</v>
      </c>
      <c r="M17" s="86" t="s">
        <v>31</v>
      </c>
      <c r="N17" s="86" t="s">
        <v>15</v>
      </c>
      <c r="O17" s="86" t="s">
        <v>16</v>
      </c>
      <c r="P17" s="136" t="s">
        <v>48</v>
      </c>
      <c r="Q17" s="86" t="s">
        <v>17</v>
      </c>
      <c r="R17" s="86" t="s">
        <v>18</v>
      </c>
      <c r="S17" s="86" t="s">
        <v>19</v>
      </c>
      <c r="T17" s="199" t="s">
        <v>361</v>
      </c>
      <c r="U17" s="520"/>
    </row>
    <row r="18" spans="2:21" ht="40.5" customHeight="1" x14ac:dyDescent="0.3">
      <c r="B18" s="518" t="s">
        <v>252</v>
      </c>
      <c r="C18" s="59" t="s">
        <v>253</v>
      </c>
      <c r="D18" s="76" t="s">
        <v>254</v>
      </c>
      <c r="E18" s="82">
        <v>1</v>
      </c>
      <c r="F18" s="82">
        <v>1</v>
      </c>
      <c r="G18" s="57">
        <v>1</v>
      </c>
      <c r="H18" s="57">
        <v>1</v>
      </c>
      <c r="I18" s="58">
        <f>SUM(E18:H18)</f>
        <v>4</v>
      </c>
      <c r="J18" s="500" t="s">
        <v>245</v>
      </c>
      <c r="K18" s="500" t="s">
        <v>113</v>
      </c>
      <c r="L18" s="683">
        <v>2</v>
      </c>
      <c r="M18" s="500" t="s">
        <v>255</v>
      </c>
      <c r="N18" s="684" t="s">
        <v>241</v>
      </c>
      <c r="O18" s="687">
        <v>3</v>
      </c>
      <c r="P18" s="500" t="s">
        <v>247</v>
      </c>
      <c r="Q18" s="572">
        <f>R18+S18+T18</f>
        <v>751815040</v>
      </c>
      <c r="R18" s="689">
        <f>756000000-630000000-4184960</f>
        <v>121815040</v>
      </c>
      <c r="S18" s="690">
        <v>0</v>
      </c>
      <c r="T18" s="690">
        <v>630000000</v>
      </c>
      <c r="U18" s="583">
        <v>30000000</v>
      </c>
    </row>
    <row r="19" spans="2:21" ht="67.5" x14ac:dyDescent="0.3">
      <c r="B19" s="518"/>
      <c r="C19" s="59" t="s">
        <v>256</v>
      </c>
      <c r="D19" s="76" t="s">
        <v>257</v>
      </c>
      <c r="E19" s="82">
        <v>0</v>
      </c>
      <c r="F19" s="82">
        <v>0</v>
      </c>
      <c r="G19" s="57">
        <v>0</v>
      </c>
      <c r="H19" s="57">
        <v>1</v>
      </c>
      <c r="I19" s="58">
        <f>H19</f>
        <v>1</v>
      </c>
      <c r="J19" s="500"/>
      <c r="K19" s="500"/>
      <c r="L19" s="683"/>
      <c r="M19" s="500"/>
      <c r="N19" s="684"/>
      <c r="O19" s="688"/>
      <c r="P19" s="500"/>
      <c r="Q19" s="572"/>
      <c r="R19" s="689"/>
      <c r="S19" s="691"/>
      <c r="T19" s="691"/>
      <c r="U19" s="584"/>
    </row>
    <row r="20" spans="2:21" x14ac:dyDescent="0.3">
      <c r="B20" s="132" t="s">
        <v>258</v>
      </c>
      <c r="C20" s="133"/>
      <c r="D20" s="133"/>
      <c r="E20" s="133"/>
      <c r="F20" s="134"/>
      <c r="G20" s="134"/>
      <c r="H20" s="134"/>
      <c r="I20" s="134"/>
      <c r="J20" s="134"/>
      <c r="K20" s="134"/>
      <c r="L20" s="134"/>
      <c r="M20" s="134"/>
      <c r="N20" s="134"/>
      <c r="O20" s="134"/>
      <c r="P20" s="134"/>
      <c r="Q20" s="134"/>
      <c r="R20" s="134"/>
      <c r="S20" s="134"/>
      <c r="T20" s="134"/>
      <c r="U20" s="134"/>
    </row>
    <row r="21" spans="2:21" x14ac:dyDescent="0.3">
      <c r="B21" s="521" t="s">
        <v>259</v>
      </c>
      <c r="C21" s="521"/>
      <c r="D21" s="521"/>
      <c r="E21" s="521"/>
      <c r="F21" s="521"/>
      <c r="G21" s="521"/>
      <c r="H21" s="521"/>
      <c r="I21" s="521"/>
      <c r="J21" s="521"/>
      <c r="K21" s="521"/>
      <c r="L21" s="521"/>
      <c r="M21" s="521"/>
      <c r="N21" s="521"/>
      <c r="O21" s="521"/>
      <c r="P21" s="521"/>
      <c r="Q21" s="521"/>
      <c r="R21" s="521"/>
      <c r="S21" s="521"/>
      <c r="T21" s="521"/>
      <c r="U21" s="521"/>
    </row>
    <row r="22" spans="2:21" ht="108" x14ac:dyDescent="0.3">
      <c r="B22" s="54" t="s">
        <v>260</v>
      </c>
      <c r="C22" s="68" t="s">
        <v>261</v>
      </c>
      <c r="D22" s="59" t="s">
        <v>262</v>
      </c>
      <c r="E22" s="57">
        <v>1</v>
      </c>
      <c r="F22" s="57">
        <v>1</v>
      </c>
      <c r="G22" s="57">
        <v>1</v>
      </c>
      <c r="H22" s="57">
        <v>1</v>
      </c>
      <c r="I22" s="58">
        <f>SUM(E22:H22)</f>
        <v>4</v>
      </c>
      <c r="J22" s="59" t="s">
        <v>245</v>
      </c>
      <c r="K22" s="59" t="s">
        <v>113</v>
      </c>
      <c r="L22" s="306">
        <v>3</v>
      </c>
      <c r="M22" s="59" t="s">
        <v>263</v>
      </c>
      <c r="N22" s="60" t="s">
        <v>241</v>
      </c>
      <c r="O22" s="87">
        <v>4</v>
      </c>
      <c r="P22" s="59" t="s">
        <v>264</v>
      </c>
      <c r="Q22" s="81">
        <f>R22+S22+T22</f>
        <v>865684960</v>
      </c>
      <c r="R22" s="63">
        <f>911500000-50000000+4184960</f>
        <v>865684960</v>
      </c>
      <c r="S22" s="63">
        <v>0</v>
      </c>
      <c r="T22" s="63">
        <v>0</v>
      </c>
      <c r="U22" s="63">
        <f>85489529-9184900+19184000</f>
        <v>95488629</v>
      </c>
    </row>
    <row r="23" spans="2:21" x14ac:dyDescent="0.3">
      <c r="B23" s="521" t="s">
        <v>265</v>
      </c>
      <c r="C23" s="521"/>
      <c r="D23" s="521"/>
      <c r="E23" s="521"/>
      <c r="F23" s="521"/>
      <c r="G23" s="521"/>
      <c r="H23" s="521"/>
      <c r="I23" s="521"/>
      <c r="J23" s="521"/>
      <c r="K23" s="521"/>
      <c r="L23" s="521"/>
      <c r="M23" s="521"/>
      <c r="N23" s="521"/>
      <c r="O23" s="521"/>
      <c r="P23" s="521"/>
      <c r="Q23" s="521"/>
      <c r="R23" s="521"/>
      <c r="S23" s="521"/>
      <c r="T23" s="521"/>
      <c r="U23" s="521"/>
    </row>
    <row r="24" spans="2:21" x14ac:dyDescent="0.3">
      <c r="B24" s="521" t="s">
        <v>154</v>
      </c>
      <c r="C24" s="521"/>
      <c r="D24" s="521"/>
      <c r="E24" s="521"/>
      <c r="F24" s="521"/>
      <c r="G24" s="521"/>
      <c r="H24" s="521"/>
      <c r="I24" s="521"/>
      <c r="J24" s="521"/>
      <c r="K24" s="521"/>
      <c r="L24" s="521"/>
      <c r="M24" s="521"/>
      <c r="N24" s="521"/>
      <c r="O24" s="521"/>
      <c r="P24" s="521"/>
      <c r="Q24" s="521"/>
      <c r="R24" s="521"/>
      <c r="S24" s="521"/>
      <c r="T24" s="521"/>
      <c r="U24" s="521"/>
    </row>
    <row r="25" spans="2:21" x14ac:dyDescent="0.3">
      <c r="B25" s="521" t="s">
        <v>155</v>
      </c>
      <c r="C25" s="521"/>
      <c r="D25" s="521"/>
      <c r="E25" s="521"/>
      <c r="F25" s="521"/>
      <c r="G25" s="521"/>
      <c r="H25" s="521"/>
      <c r="I25" s="521"/>
      <c r="J25" s="521"/>
      <c r="K25" s="521"/>
      <c r="L25" s="521"/>
      <c r="M25" s="521"/>
      <c r="N25" s="521"/>
      <c r="O25" s="521"/>
      <c r="P25" s="521"/>
      <c r="Q25" s="521"/>
      <c r="R25" s="521"/>
      <c r="S25" s="521"/>
      <c r="T25" s="521"/>
      <c r="U25" s="521"/>
    </row>
    <row r="26" spans="2:21" ht="67.5" customHeight="1" x14ac:dyDescent="0.3">
      <c r="B26" s="677" t="s">
        <v>156</v>
      </c>
      <c r="C26" s="680" t="s">
        <v>266</v>
      </c>
      <c r="D26" s="59" t="s">
        <v>267</v>
      </c>
      <c r="E26" s="82">
        <v>3</v>
      </c>
      <c r="F26" s="82">
        <v>3</v>
      </c>
      <c r="G26" s="82">
        <v>3</v>
      </c>
      <c r="H26" s="82">
        <v>3</v>
      </c>
      <c r="I26" s="58">
        <f>SUM(E26:H26)</f>
        <v>12</v>
      </c>
      <c r="J26" s="59" t="s">
        <v>245</v>
      </c>
      <c r="K26" s="490" t="s">
        <v>118</v>
      </c>
      <c r="L26" s="667">
        <v>4</v>
      </c>
      <c r="M26" s="490" t="s">
        <v>268</v>
      </c>
      <c r="N26" s="59" t="s">
        <v>241</v>
      </c>
      <c r="O26" s="137">
        <v>3</v>
      </c>
      <c r="P26" s="502" t="s">
        <v>269</v>
      </c>
      <c r="Q26" s="670">
        <f>R26+S26+T26</f>
        <v>771498590</v>
      </c>
      <c r="R26" s="587">
        <f>827500000-56001410-526001410</f>
        <v>245497180</v>
      </c>
      <c r="S26" s="587">
        <v>0</v>
      </c>
      <c r="T26" s="587">
        <v>526001410</v>
      </c>
      <c r="U26" s="587">
        <v>0</v>
      </c>
    </row>
    <row r="27" spans="2:21" ht="16.5" customHeight="1" x14ac:dyDescent="0.3">
      <c r="B27" s="678"/>
      <c r="C27" s="681"/>
      <c r="D27" s="490" t="s">
        <v>270</v>
      </c>
      <c r="E27" s="663">
        <v>3</v>
      </c>
      <c r="F27" s="692">
        <v>0</v>
      </c>
      <c r="G27" s="663">
        <v>3</v>
      </c>
      <c r="H27" s="663">
        <v>2</v>
      </c>
      <c r="I27" s="563">
        <f>SUM(E27:H27)</f>
        <v>8</v>
      </c>
      <c r="J27" s="490" t="s">
        <v>245</v>
      </c>
      <c r="K27" s="491"/>
      <c r="L27" s="668"/>
      <c r="M27" s="491"/>
      <c r="N27" s="500" t="s">
        <v>271</v>
      </c>
      <c r="O27" s="673">
        <v>3</v>
      </c>
      <c r="P27" s="503"/>
      <c r="Q27" s="671"/>
      <c r="R27" s="666"/>
      <c r="S27" s="666"/>
      <c r="T27" s="666"/>
      <c r="U27" s="666"/>
    </row>
    <row r="28" spans="2:21" ht="23.25" customHeight="1" x14ac:dyDescent="0.3">
      <c r="B28" s="678"/>
      <c r="C28" s="681"/>
      <c r="D28" s="491"/>
      <c r="E28" s="664"/>
      <c r="F28" s="693"/>
      <c r="G28" s="664"/>
      <c r="H28" s="664"/>
      <c r="I28" s="564"/>
      <c r="J28" s="491"/>
      <c r="K28" s="491"/>
      <c r="L28" s="668"/>
      <c r="M28" s="491"/>
      <c r="N28" s="500"/>
      <c r="O28" s="673"/>
      <c r="P28" s="503"/>
      <c r="Q28" s="671"/>
      <c r="R28" s="666"/>
      <c r="S28" s="666"/>
      <c r="T28" s="666"/>
      <c r="U28" s="666"/>
    </row>
    <row r="29" spans="2:21" ht="71.25" customHeight="1" x14ac:dyDescent="0.3">
      <c r="B29" s="679"/>
      <c r="C29" s="682"/>
      <c r="D29" s="493"/>
      <c r="E29" s="665"/>
      <c r="F29" s="694"/>
      <c r="G29" s="665"/>
      <c r="H29" s="665"/>
      <c r="I29" s="568"/>
      <c r="J29" s="493"/>
      <c r="K29" s="493"/>
      <c r="L29" s="669"/>
      <c r="M29" s="493"/>
      <c r="N29" s="59" t="s">
        <v>357</v>
      </c>
      <c r="O29" s="179">
        <v>50</v>
      </c>
      <c r="P29" s="504"/>
      <c r="Q29" s="672"/>
      <c r="R29" s="588"/>
      <c r="S29" s="588"/>
      <c r="T29" s="588"/>
      <c r="U29" s="588"/>
    </row>
    <row r="30" spans="2:21" x14ac:dyDescent="0.3">
      <c r="B30" s="501" t="s">
        <v>53</v>
      </c>
      <c r="C30" s="501"/>
      <c r="D30" s="501"/>
      <c r="E30" s="501"/>
      <c r="F30" s="501"/>
      <c r="G30" s="501"/>
      <c r="H30" s="501"/>
      <c r="I30" s="501"/>
      <c r="J30" s="501"/>
      <c r="K30" s="501"/>
      <c r="L30" s="501"/>
      <c r="M30" s="501"/>
      <c r="N30" s="501"/>
      <c r="O30" s="501"/>
      <c r="P30" s="501"/>
      <c r="Q30" s="138">
        <f>Q26+Q22+Q18+Q10</f>
        <v>5243998590</v>
      </c>
      <c r="R30" s="138">
        <f>R26+R22+R18+R10</f>
        <v>3743998590</v>
      </c>
      <c r="S30" s="175">
        <f>SUM(S10:S28)</f>
        <v>0</v>
      </c>
      <c r="T30" s="129">
        <f>SUM(T10:T28)</f>
        <v>1500000000</v>
      </c>
      <c r="U30" s="129">
        <f>SUM(U10:U28)</f>
        <v>125488629</v>
      </c>
    </row>
    <row r="32" spans="2:21" ht="99" x14ac:dyDescent="0.3">
      <c r="B32" s="296" t="s">
        <v>393</v>
      </c>
      <c r="U32" s="314" t="s">
        <v>396</v>
      </c>
    </row>
    <row r="33" spans="2:2" x14ac:dyDescent="0.3">
      <c r="B33" s="309" t="s">
        <v>395</v>
      </c>
    </row>
    <row r="34" spans="2:2" x14ac:dyDescent="0.3">
      <c r="B34" s="310" t="s">
        <v>391</v>
      </c>
    </row>
  </sheetData>
  <mergeCells count="75">
    <mergeCell ref="T18:T19"/>
    <mergeCell ref="L16:P16"/>
    <mergeCell ref="Q16:T16"/>
    <mergeCell ref="J18:J19"/>
    <mergeCell ref="U16:U17"/>
    <mergeCell ref="B30:P30"/>
    <mergeCell ref="N27:N28"/>
    <mergeCell ref="U18:U19"/>
    <mergeCell ref="B21:U21"/>
    <mergeCell ref="B23:U23"/>
    <mergeCell ref="B24:U24"/>
    <mergeCell ref="B25:U25"/>
    <mergeCell ref="O18:O19"/>
    <mergeCell ref="P18:P19"/>
    <mergeCell ref="Q18:Q19"/>
    <mergeCell ref="R18:R19"/>
    <mergeCell ref="S18:S19"/>
    <mergeCell ref="E27:E29"/>
    <mergeCell ref="F27:F29"/>
    <mergeCell ref="H27:H29"/>
    <mergeCell ref="I27:I29"/>
    <mergeCell ref="T10:T12"/>
    <mergeCell ref="U10:U12"/>
    <mergeCell ref="B13:U13"/>
    <mergeCell ref="B14:U14"/>
    <mergeCell ref="B15:U15"/>
    <mergeCell ref="B10:B11"/>
    <mergeCell ref="C10:C11"/>
    <mergeCell ref="D10:D11"/>
    <mergeCell ref="E10:E11"/>
    <mergeCell ref="F10:F11"/>
    <mergeCell ref="M10:M12"/>
    <mergeCell ref="G10:G11"/>
    <mergeCell ref="J10:J11"/>
    <mergeCell ref="K10:K11"/>
    <mergeCell ref="L10:L12"/>
    <mergeCell ref="N10:N11"/>
    <mergeCell ref="S10:S12"/>
    <mergeCell ref="H10:H11"/>
    <mergeCell ref="I10:I11"/>
    <mergeCell ref="B26:B29"/>
    <mergeCell ref="C26:C29"/>
    <mergeCell ref="D27:D29"/>
    <mergeCell ref="B18:B19"/>
    <mergeCell ref="O10:O11"/>
    <mergeCell ref="P10:P12"/>
    <mergeCell ref="Q10:Q12"/>
    <mergeCell ref="R10:R12"/>
    <mergeCell ref="K18:K19"/>
    <mergeCell ref="L18:L19"/>
    <mergeCell ref="M18:M19"/>
    <mergeCell ref="N18:N19"/>
    <mergeCell ref="B16:J16"/>
    <mergeCell ref="R2:U2"/>
    <mergeCell ref="B5:U5"/>
    <mergeCell ref="B6:U6"/>
    <mergeCell ref="B7:U7"/>
    <mergeCell ref="B8:J8"/>
    <mergeCell ref="L8:P8"/>
    <mergeCell ref="Q8:T8"/>
    <mergeCell ref="U8:U9"/>
    <mergeCell ref="L3:U3"/>
    <mergeCell ref="L4:U4"/>
    <mergeCell ref="J27:J29"/>
    <mergeCell ref="G27:G29"/>
    <mergeCell ref="K26:K29"/>
    <mergeCell ref="S26:S29"/>
    <mergeCell ref="U26:U29"/>
    <mergeCell ref="L26:L29"/>
    <mergeCell ref="M26:M29"/>
    <mergeCell ref="P26:P29"/>
    <mergeCell ref="Q26:Q29"/>
    <mergeCell ref="R26:R29"/>
    <mergeCell ref="O27:O28"/>
    <mergeCell ref="T26:T29"/>
  </mergeCells>
  <conditionalFormatting sqref="E26:H26 E27">
    <cfRule type="expression" dxfId="73" priority="14" stopIfTrue="1">
      <formula>+IF((#REF!+#REF!+#REF!+#REF!+#REF!)&lt;&gt;$L26,1,0)</formula>
    </cfRule>
  </conditionalFormatting>
  <conditionalFormatting sqref="C12">
    <cfRule type="expression" dxfId="72" priority="13" stopIfTrue="1">
      <formula>+IF((#REF!+#REF!+#REF!+#REF!+#REF!)&lt;&gt;$M12,1,0)</formula>
    </cfRule>
  </conditionalFormatting>
  <conditionalFormatting sqref="D12">
    <cfRule type="expression" dxfId="71" priority="12" stopIfTrue="1">
      <formula>+IF((#REF!+#REF!+#REF!+#REF!+#REF!)&lt;&gt;$M12,1,0)</formula>
    </cfRule>
  </conditionalFormatting>
  <conditionalFormatting sqref="C12">
    <cfRule type="expression" dxfId="70" priority="11" stopIfTrue="1">
      <formula>+IF((#REF!+#REF!+#REF!+#REF!+#REF!)&lt;&gt;$M12,1,0)</formula>
    </cfRule>
  </conditionalFormatting>
  <conditionalFormatting sqref="D12">
    <cfRule type="expression" dxfId="69" priority="10" stopIfTrue="1">
      <formula>+IF((#REF!+#REF!+#REF!+#REF!+#REF!)&lt;&gt;$M12,1,0)</formula>
    </cfRule>
  </conditionalFormatting>
  <conditionalFormatting sqref="E22">
    <cfRule type="expression" dxfId="68" priority="9" stopIfTrue="1">
      <formula>+IF((#REF!+#REF!+#REF!+#REF!+#REF!)&lt;&gt;$L22,1,0)</formula>
    </cfRule>
  </conditionalFormatting>
  <conditionalFormatting sqref="F22:G22">
    <cfRule type="expression" dxfId="67" priority="8" stopIfTrue="1">
      <formula>+IF((#REF!+#REF!+#REF!+#REF!+#REF!)&lt;&gt;$L22,1,0)</formula>
    </cfRule>
  </conditionalFormatting>
  <conditionalFormatting sqref="C11">
    <cfRule type="expression" dxfId="66" priority="15" stopIfTrue="1">
      <formula>+IF((#REF!+#REF!+#REF!+#REF!+#REF!)&lt;&gt;$M10,1,0)</formula>
    </cfRule>
  </conditionalFormatting>
  <conditionalFormatting sqref="C10">
    <cfRule type="expression" dxfId="65" priority="16" stopIfTrue="1">
      <formula>+IF((#REF!+#REF!+#REF!+#REF!+#REF!)&lt;&gt;#REF!,1,0)</formula>
    </cfRule>
  </conditionalFormatting>
  <conditionalFormatting sqref="C11">
    <cfRule type="expression" dxfId="64" priority="17" stopIfTrue="1">
      <formula>+IF((#REF!+#REF!+#REF!+#REF!+#REF!)&lt;&gt;$N10,1,0)</formula>
    </cfRule>
  </conditionalFormatting>
  <conditionalFormatting sqref="C11">
    <cfRule type="expression" dxfId="63" priority="18" stopIfTrue="1">
      <formula>+IF((#REF!+#REF!+#REF!+#REF!+#REF!)&lt;&gt;$N10,1,0)</formula>
    </cfRule>
  </conditionalFormatting>
  <conditionalFormatting sqref="F27:H27">
    <cfRule type="expression" dxfId="62" priority="7" stopIfTrue="1">
      <formula>+IF((#REF!+#REF!+#REF!+#REF!+#REF!)&lt;&gt;$L27,1,0)</formula>
    </cfRule>
  </conditionalFormatting>
  <conditionalFormatting sqref="D10">
    <cfRule type="expression" dxfId="61" priority="6" stopIfTrue="1">
      <formula>+IF((#REF!+#REF!+#REF!+#REF!+#REF!)&lt;&gt;$M10,1,0)</formula>
    </cfRule>
  </conditionalFormatting>
  <conditionalFormatting sqref="D10">
    <cfRule type="expression" dxfId="60" priority="5" stopIfTrue="1">
      <formula>+IF((#REF!+#REF!+#REF!+#REF!+#REF!)&lt;&gt;$M10,1,0)</formula>
    </cfRule>
  </conditionalFormatting>
  <conditionalFormatting sqref="E12:H12">
    <cfRule type="expression" dxfId="59" priority="4" stopIfTrue="1">
      <formula>+IF((#REF!+#REF!+#REF!+#REF!+#REF!)&lt;&gt;$L12,1,0)</formula>
    </cfRule>
  </conditionalFormatting>
  <conditionalFormatting sqref="E12:H12">
    <cfRule type="expression" dxfId="58" priority="3" stopIfTrue="1">
      <formula>+IF((#REF!+#REF!+#REF!+#REF!+#REF!)&lt;&gt;$L12,1,0)</formula>
    </cfRule>
  </conditionalFormatting>
  <conditionalFormatting sqref="D22">
    <cfRule type="expression" dxfId="57" priority="2" stopIfTrue="1">
      <formula>+IF((#REF!+#REF!+#REF!+#REF!+#REF!)&lt;&gt;$M22,1,0)</formula>
    </cfRule>
  </conditionalFormatting>
  <conditionalFormatting sqref="O22">
    <cfRule type="expression" dxfId="56" priority="1" stopIfTrue="1">
      <formula>+IF((#REF!+#REF!+#REF!+#REF!+#REF!)&lt;&gt;$L22,1,0)</formula>
    </cfRule>
  </conditionalFormatting>
  <dataValidations count="4">
    <dataValidation type="list" allowBlank="1" showInputMessage="1" showErrorMessage="1" sqref="J18">
      <formula1>$U$40:$U$48</formula1>
    </dataValidation>
    <dataValidation type="list" allowBlank="1" showInputMessage="1" showErrorMessage="1" sqref="P26 P22 P10 P18">
      <formula1>$Q$32:$Q$57</formula1>
    </dataValidation>
    <dataValidation type="list" allowBlank="1" showInputMessage="1" showErrorMessage="1" sqref="K10 K12 K22 K26 K18">
      <formula1>$I$35:$I$39</formula1>
    </dataValidation>
    <dataValidation type="list" allowBlank="1" showInputMessage="1" showErrorMessage="1" sqref="J10 J22 J12 J26:J27">
      <formula1>$U$41:$U$49</formula1>
    </dataValidation>
  </dataValidations>
  <pageMargins left="0.7" right="0.7" top="0.75" bottom="0.75" header="0.3" footer="0.3"/>
  <ignoredErrors>
    <ignoredError sqref="Q26 Q22 Q10:R10 Q18 Q30:R30" unlockedFormula="1"/>
  </ignoredError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AD33"/>
  <sheetViews>
    <sheetView topLeftCell="L25" zoomScale="80" zoomScaleNormal="80" workbookViewId="0">
      <selection activeCell="X26" sqref="X26:X29"/>
    </sheetView>
  </sheetViews>
  <sheetFormatPr baseColWidth="10" defaultColWidth="11.42578125" defaultRowHeight="16.5" x14ac:dyDescent="0.3"/>
  <cols>
    <col min="1" max="1" width="11.42578125" style="161"/>
    <col min="2" max="2" width="21.140625" style="161" customWidth="1"/>
    <col min="3" max="3" width="20" style="161" customWidth="1"/>
    <col min="4" max="4" width="11.42578125" style="161"/>
    <col min="5" max="5" width="6.7109375" style="161" customWidth="1"/>
    <col min="6" max="6" width="6" style="161" customWidth="1"/>
    <col min="7" max="7" width="6.140625" style="161" customWidth="1"/>
    <col min="8" max="8" width="6.42578125" style="161" customWidth="1"/>
    <col min="9" max="10" width="11.42578125" style="161"/>
    <col min="11" max="11" width="13.85546875" style="161" customWidth="1"/>
    <col min="12" max="12" width="5.140625" style="161" customWidth="1"/>
    <col min="13" max="13" width="15.28515625" style="161" customWidth="1"/>
    <col min="14" max="14" width="14.7109375" style="161" customWidth="1"/>
    <col min="15" max="15" width="11.42578125" style="161"/>
    <col min="16" max="16" width="15.5703125" style="161" customWidth="1"/>
    <col min="17" max="17" width="21.28515625" style="161" customWidth="1"/>
    <col min="18" max="18" width="16.28515625" style="161" customWidth="1"/>
    <col min="19" max="19" width="14" style="161" customWidth="1"/>
    <col min="20" max="20" width="18.140625" style="161" customWidth="1"/>
    <col min="21" max="21" width="27" style="161" customWidth="1"/>
    <col min="22" max="22" width="76.42578125" style="161" customWidth="1"/>
    <col min="23" max="23" width="64.42578125" style="161" customWidth="1"/>
    <col min="24" max="24" width="29.7109375" style="161" customWidth="1"/>
    <col min="25" max="25" width="116.5703125" style="161" customWidth="1"/>
    <col min="26" max="26" width="18" style="161" customWidth="1"/>
    <col min="27" max="27" width="17.42578125" style="161" bestFit="1" customWidth="1"/>
    <col min="28" max="28" width="15.85546875" style="161" bestFit="1" customWidth="1"/>
    <col min="29" max="29" width="17.42578125" style="161" bestFit="1" customWidth="1"/>
    <col min="30" max="16384" width="11.42578125" style="161"/>
  </cols>
  <sheetData>
    <row r="2" spans="2:29" ht="18.75" x14ac:dyDescent="0.3">
      <c r="R2" s="674" t="s">
        <v>325</v>
      </c>
      <c r="S2" s="674"/>
      <c r="T2" s="674"/>
      <c r="U2" s="674"/>
    </row>
    <row r="3" spans="2:29" x14ac:dyDescent="0.3">
      <c r="L3" s="675" t="s">
        <v>0</v>
      </c>
      <c r="M3" s="675"/>
      <c r="N3" s="675"/>
      <c r="O3" s="675"/>
      <c r="P3" s="675"/>
      <c r="Q3" s="675"/>
      <c r="R3" s="675"/>
      <c r="S3" s="675"/>
      <c r="T3" s="675"/>
      <c r="U3" s="675"/>
    </row>
    <row r="4" spans="2:29" ht="33.75" customHeight="1" x14ac:dyDescent="0.3">
      <c r="L4" s="676"/>
      <c r="M4" s="676"/>
      <c r="N4" s="676"/>
      <c r="O4" s="676"/>
      <c r="P4" s="676"/>
      <c r="Q4" s="676"/>
      <c r="R4" s="676"/>
      <c r="S4" s="676"/>
      <c r="T4" s="676"/>
      <c r="U4" s="676"/>
    </row>
    <row r="5" spans="2:29" x14ac:dyDescent="0.3">
      <c r="B5" s="521" t="s">
        <v>23</v>
      </c>
      <c r="C5" s="521"/>
      <c r="D5" s="521"/>
      <c r="E5" s="521"/>
      <c r="F5" s="521"/>
      <c r="G5" s="521"/>
      <c r="H5" s="521"/>
      <c r="I5" s="521"/>
      <c r="J5" s="521"/>
      <c r="K5" s="521"/>
      <c r="L5" s="521"/>
      <c r="M5" s="521"/>
      <c r="N5" s="521"/>
      <c r="O5" s="521"/>
      <c r="P5" s="521"/>
      <c r="Q5" s="521"/>
      <c r="R5" s="521"/>
      <c r="S5" s="521"/>
      <c r="T5" s="521"/>
      <c r="U5" s="521"/>
    </row>
    <row r="6" spans="2:29" x14ac:dyDescent="0.3">
      <c r="B6" s="521" t="s">
        <v>34</v>
      </c>
      <c r="C6" s="521"/>
      <c r="D6" s="521"/>
      <c r="E6" s="521"/>
      <c r="F6" s="521"/>
      <c r="G6" s="521"/>
      <c r="H6" s="521"/>
      <c r="I6" s="521"/>
      <c r="J6" s="521"/>
      <c r="K6" s="521"/>
      <c r="L6" s="521"/>
      <c r="M6" s="521"/>
      <c r="N6" s="521"/>
      <c r="O6" s="521"/>
      <c r="P6" s="521"/>
      <c r="Q6" s="521"/>
      <c r="R6" s="521"/>
      <c r="S6" s="521"/>
      <c r="T6" s="521"/>
      <c r="U6" s="521"/>
    </row>
    <row r="7" spans="2:29" x14ac:dyDescent="0.3">
      <c r="B7" s="521" t="s">
        <v>35</v>
      </c>
      <c r="C7" s="521"/>
      <c r="D7" s="521"/>
      <c r="E7" s="521"/>
      <c r="F7" s="521"/>
      <c r="G7" s="521"/>
      <c r="H7" s="521"/>
      <c r="I7" s="521"/>
      <c r="J7" s="521"/>
      <c r="K7" s="521"/>
      <c r="L7" s="521"/>
      <c r="M7" s="521"/>
      <c r="N7" s="521"/>
      <c r="O7" s="521"/>
      <c r="P7" s="521"/>
      <c r="Q7" s="521"/>
      <c r="R7" s="521"/>
      <c r="S7" s="521"/>
      <c r="T7" s="521"/>
      <c r="U7" s="521"/>
      <c r="W7" s="705" t="s">
        <v>413</v>
      </c>
      <c r="X7" s="705"/>
      <c r="Y7" s="705"/>
    </row>
    <row r="8" spans="2:29" x14ac:dyDescent="0.3">
      <c r="B8" s="515" t="s">
        <v>3</v>
      </c>
      <c r="C8" s="515"/>
      <c r="D8" s="515"/>
      <c r="E8" s="515"/>
      <c r="F8" s="515"/>
      <c r="G8" s="515"/>
      <c r="H8" s="515"/>
      <c r="I8" s="515"/>
      <c r="J8" s="515"/>
      <c r="K8" s="135"/>
      <c r="L8" s="515" t="s">
        <v>72</v>
      </c>
      <c r="M8" s="515"/>
      <c r="N8" s="515"/>
      <c r="O8" s="515"/>
      <c r="P8" s="515"/>
      <c r="Q8" s="509" t="s">
        <v>4</v>
      </c>
      <c r="R8" s="509"/>
      <c r="S8" s="509"/>
      <c r="T8" s="509"/>
      <c r="U8" s="520" t="s">
        <v>40</v>
      </c>
      <c r="W8" s="553" t="s">
        <v>410</v>
      </c>
      <c r="X8" s="554"/>
      <c r="Y8" s="555" t="s">
        <v>445</v>
      </c>
    </row>
    <row r="9" spans="2:29" ht="42.75" customHeight="1" x14ac:dyDescent="0.3">
      <c r="B9" s="273" t="s">
        <v>51</v>
      </c>
      <c r="C9" s="273" t="s">
        <v>12</v>
      </c>
      <c r="D9" s="273" t="s">
        <v>52</v>
      </c>
      <c r="E9" s="273" t="s">
        <v>24</v>
      </c>
      <c r="F9" s="273" t="s">
        <v>25</v>
      </c>
      <c r="G9" s="273" t="s">
        <v>26</v>
      </c>
      <c r="H9" s="273" t="s">
        <v>27</v>
      </c>
      <c r="I9" s="273" t="s">
        <v>28</v>
      </c>
      <c r="J9" s="273" t="s">
        <v>29</v>
      </c>
      <c r="K9" s="273" t="s">
        <v>47</v>
      </c>
      <c r="L9" s="279" t="s">
        <v>14</v>
      </c>
      <c r="M9" s="279" t="s">
        <v>79</v>
      </c>
      <c r="N9" s="279" t="s">
        <v>15</v>
      </c>
      <c r="O9" s="279" t="s">
        <v>16</v>
      </c>
      <c r="P9" s="136" t="s">
        <v>48</v>
      </c>
      <c r="Q9" s="279" t="s">
        <v>17</v>
      </c>
      <c r="R9" s="279" t="s">
        <v>18</v>
      </c>
      <c r="S9" s="279" t="s">
        <v>19</v>
      </c>
      <c r="T9" s="279" t="s">
        <v>361</v>
      </c>
      <c r="U9" s="520"/>
      <c r="V9" s="371" t="s">
        <v>426</v>
      </c>
      <c r="W9" s="291" t="s">
        <v>408</v>
      </c>
      <c r="X9" s="291" t="s">
        <v>409</v>
      </c>
      <c r="Y9" s="556"/>
    </row>
    <row r="10" spans="2:29" ht="176.25" customHeight="1" x14ac:dyDescent="0.3">
      <c r="B10" s="517" t="s">
        <v>242</v>
      </c>
      <c r="C10" s="686" t="s">
        <v>243</v>
      </c>
      <c r="D10" s="686" t="s">
        <v>244</v>
      </c>
      <c r="E10" s="569">
        <v>4</v>
      </c>
      <c r="F10" s="569">
        <v>4</v>
      </c>
      <c r="G10" s="569">
        <v>4</v>
      </c>
      <c r="H10" s="569">
        <v>4</v>
      </c>
      <c r="I10" s="508">
        <f>SUM(E10:H10)</f>
        <v>16</v>
      </c>
      <c r="J10" s="498" t="s">
        <v>245</v>
      </c>
      <c r="K10" s="498" t="s">
        <v>113</v>
      </c>
      <c r="L10" s="508">
        <v>1</v>
      </c>
      <c r="M10" s="497" t="s">
        <v>246</v>
      </c>
      <c r="N10" s="500" t="s">
        <v>244</v>
      </c>
      <c r="O10" s="519">
        <v>4</v>
      </c>
      <c r="P10" s="498" t="s">
        <v>247</v>
      </c>
      <c r="Q10" s="572">
        <f>R10+S10+T10</f>
        <v>2855000000</v>
      </c>
      <c r="R10" s="510">
        <f>2905000000-50000000-343998590</f>
        <v>2511001410</v>
      </c>
      <c r="S10" s="510">
        <v>0</v>
      </c>
      <c r="T10" s="510">
        <v>343998590</v>
      </c>
      <c r="U10" s="510">
        <v>0</v>
      </c>
      <c r="V10" s="698" t="s">
        <v>427</v>
      </c>
      <c r="W10" s="361" t="s">
        <v>453</v>
      </c>
      <c r="X10" s="548" t="s">
        <v>422</v>
      </c>
      <c r="Y10" s="550" t="s">
        <v>616</v>
      </c>
      <c r="Z10" s="706" t="s">
        <v>454</v>
      </c>
    </row>
    <row r="11" spans="2:29" ht="62.25" hidden="1" customHeight="1" x14ac:dyDescent="0.3">
      <c r="B11" s="517"/>
      <c r="C11" s="686"/>
      <c r="D11" s="686"/>
      <c r="E11" s="569"/>
      <c r="F11" s="569"/>
      <c r="G11" s="569"/>
      <c r="H11" s="569"/>
      <c r="I11" s="508"/>
      <c r="J11" s="498"/>
      <c r="K11" s="498"/>
      <c r="L11" s="508"/>
      <c r="M11" s="497"/>
      <c r="N11" s="500"/>
      <c r="O11" s="519"/>
      <c r="P11" s="498"/>
      <c r="Q11" s="572"/>
      <c r="R11" s="510"/>
      <c r="S11" s="510"/>
      <c r="T11" s="510"/>
      <c r="U11" s="510"/>
      <c r="V11" s="537"/>
      <c r="W11" s="358"/>
      <c r="X11" s="548"/>
      <c r="Y11" s="551"/>
      <c r="Z11" s="707"/>
    </row>
    <row r="12" spans="2:29" ht="184.5" customHeight="1" x14ac:dyDescent="0.3">
      <c r="B12" s="277" t="s">
        <v>248</v>
      </c>
      <c r="C12" s="285" t="s">
        <v>249</v>
      </c>
      <c r="D12" s="285" t="s">
        <v>250</v>
      </c>
      <c r="E12" s="295">
        <v>0.1</v>
      </c>
      <c r="F12" s="219">
        <v>0.05</v>
      </c>
      <c r="G12" s="130">
        <v>0.15</v>
      </c>
      <c r="H12" s="130">
        <v>0.1</v>
      </c>
      <c r="I12" s="131">
        <f>SUM(E12:H12)</f>
        <v>0.4</v>
      </c>
      <c r="J12" s="269" t="s">
        <v>245</v>
      </c>
      <c r="K12" s="269" t="s">
        <v>113</v>
      </c>
      <c r="L12" s="508"/>
      <c r="M12" s="497"/>
      <c r="N12" s="313" t="s">
        <v>251</v>
      </c>
      <c r="O12" s="180">
        <v>0.05</v>
      </c>
      <c r="P12" s="498"/>
      <c r="Q12" s="572"/>
      <c r="R12" s="510"/>
      <c r="S12" s="510"/>
      <c r="T12" s="510"/>
      <c r="U12" s="510"/>
      <c r="V12" s="362" t="s">
        <v>428</v>
      </c>
      <c r="W12" s="361" t="s">
        <v>429</v>
      </c>
      <c r="X12" s="548"/>
      <c r="Y12" s="552"/>
      <c r="Z12" s="707"/>
    </row>
    <row r="13" spans="2:29" x14ac:dyDescent="0.3">
      <c r="B13" s="521" t="s">
        <v>202</v>
      </c>
      <c r="C13" s="521"/>
      <c r="D13" s="521"/>
      <c r="E13" s="521"/>
      <c r="F13" s="521"/>
      <c r="G13" s="521"/>
      <c r="H13" s="521"/>
      <c r="I13" s="521"/>
      <c r="J13" s="521"/>
      <c r="K13" s="521"/>
      <c r="L13" s="521"/>
      <c r="M13" s="521"/>
      <c r="N13" s="521"/>
      <c r="O13" s="521"/>
      <c r="P13" s="521"/>
      <c r="Q13" s="521"/>
      <c r="R13" s="521"/>
      <c r="S13" s="521"/>
      <c r="T13" s="521"/>
      <c r="U13" s="521"/>
      <c r="V13" s="699"/>
      <c r="W13" s="700"/>
      <c r="X13" s="700"/>
      <c r="Y13" s="700"/>
      <c r="AA13" s="359"/>
      <c r="AB13" s="359"/>
      <c r="AC13" s="359"/>
    </row>
    <row r="14" spans="2:29" x14ac:dyDescent="0.3">
      <c r="B14" s="521" t="s">
        <v>203</v>
      </c>
      <c r="C14" s="521"/>
      <c r="D14" s="521"/>
      <c r="E14" s="521"/>
      <c r="F14" s="521"/>
      <c r="G14" s="521"/>
      <c r="H14" s="521"/>
      <c r="I14" s="521"/>
      <c r="J14" s="521"/>
      <c r="K14" s="521"/>
      <c r="L14" s="521"/>
      <c r="M14" s="521"/>
      <c r="N14" s="521"/>
      <c r="O14" s="521"/>
      <c r="P14" s="521"/>
      <c r="Q14" s="521"/>
      <c r="R14" s="521"/>
      <c r="S14" s="521"/>
      <c r="T14" s="521"/>
      <c r="U14" s="521"/>
      <c r="V14" s="699"/>
      <c r="W14" s="700"/>
      <c r="X14" s="700"/>
      <c r="Y14" s="700"/>
      <c r="AA14" s="359"/>
      <c r="AB14" s="359"/>
      <c r="AC14" s="359"/>
    </row>
    <row r="15" spans="2:29" x14ac:dyDescent="0.3">
      <c r="B15" s="521" t="s">
        <v>204</v>
      </c>
      <c r="C15" s="521"/>
      <c r="D15" s="521"/>
      <c r="E15" s="521"/>
      <c r="F15" s="521"/>
      <c r="G15" s="521"/>
      <c r="H15" s="521"/>
      <c r="I15" s="521"/>
      <c r="J15" s="521"/>
      <c r="K15" s="521"/>
      <c r="L15" s="521"/>
      <c r="M15" s="521"/>
      <c r="N15" s="521"/>
      <c r="O15" s="521"/>
      <c r="P15" s="521"/>
      <c r="Q15" s="521"/>
      <c r="R15" s="521"/>
      <c r="S15" s="521"/>
      <c r="T15" s="521"/>
      <c r="U15" s="521"/>
      <c r="V15" s="699"/>
      <c r="W15" s="700"/>
      <c r="X15" s="700"/>
      <c r="Y15" s="700"/>
      <c r="AA15" s="359"/>
      <c r="AB15" s="359"/>
      <c r="AC15" s="359"/>
    </row>
    <row r="16" spans="2:29" x14ac:dyDescent="0.3">
      <c r="B16" s="515" t="s">
        <v>3</v>
      </c>
      <c r="C16" s="515"/>
      <c r="D16" s="515"/>
      <c r="E16" s="515"/>
      <c r="F16" s="515"/>
      <c r="G16" s="515"/>
      <c r="H16" s="515"/>
      <c r="I16" s="515"/>
      <c r="J16" s="515"/>
      <c r="K16" s="135"/>
      <c r="L16" s="515" t="s">
        <v>72</v>
      </c>
      <c r="M16" s="515"/>
      <c r="N16" s="515"/>
      <c r="O16" s="515"/>
      <c r="P16" s="515"/>
      <c r="Q16" s="509" t="s">
        <v>4</v>
      </c>
      <c r="R16" s="509"/>
      <c r="S16" s="509"/>
      <c r="T16" s="509"/>
      <c r="U16" s="520" t="s">
        <v>40</v>
      </c>
      <c r="V16" s="699"/>
      <c r="W16" s="700"/>
      <c r="X16" s="700"/>
      <c r="Y16" s="700"/>
      <c r="AA16" s="359"/>
      <c r="AB16" s="359"/>
      <c r="AC16" s="359"/>
    </row>
    <row r="17" spans="2:30" ht="51" customHeight="1" x14ac:dyDescent="0.3">
      <c r="B17" s="273" t="s">
        <v>51</v>
      </c>
      <c r="C17" s="273" t="s">
        <v>12</v>
      </c>
      <c r="D17" s="273" t="s">
        <v>52</v>
      </c>
      <c r="E17" s="273" t="s">
        <v>24</v>
      </c>
      <c r="F17" s="273" t="s">
        <v>25</v>
      </c>
      <c r="G17" s="273" t="s">
        <v>26</v>
      </c>
      <c r="H17" s="273" t="s">
        <v>27</v>
      </c>
      <c r="I17" s="273" t="s">
        <v>28</v>
      </c>
      <c r="J17" s="273" t="s">
        <v>29</v>
      </c>
      <c r="K17" s="273" t="s">
        <v>47</v>
      </c>
      <c r="L17" s="279" t="s">
        <v>14</v>
      </c>
      <c r="M17" s="279" t="s">
        <v>31</v>
      </c>
      <c r="N17" s="279" t="s">
        <v>15</v>
      </c>
      <c r="O17" s="279" t="s">
        <v>16</v>
      </c>
      <c r="P17" s="136" t="s">
        <v>48</v>
      </c>
      <c r="Q17" s="279" t="s">
        <v>17</v>
      </c>
      <c r="R17" s="279" t="s">
        <v>18</v>
      </c>
      <c r="S17" s="279" t="s">
        <v>19</v>
      </c>
      <c r="T17" s="279" t="s">
        <v>361</v>
      </c>
      <c r="U17" s="520"/>
      <c r="V17" s="699"/>
      <c r="W17" s="700"/>
      <c r="X17" s="700"/>
      <c r="Y17" s="700"/>
      <c r="AA17" s="359"/>
      <c r="AB17" s="359"/>
      <c r="AC17" s="359"/>
    </row>
    <row r="18" spans="2:30" ht="52.5" customHeight="1" x14ac:dyDescent="0.3">
      <c r="B18" s="518" t="s">
        <v>252</v>
      </c>
      <c r="C18" s="269" t="s">
        <v>253</v>
      </c>
      <c r="D18" s="76" t="s">
        <v>254</v>
      </c>
      <c r="E18" s="82">
        <v>1</v>
      </c>
      <c r="F18" s="82">
        <v>1</v>
      </c>
      <c r="G18" s="270">
        <v>1</v>
      </c>
      <c r="H18" s="270">
        <v>1</v>
      </c>
      <c r="I18" s="272">
        <f>SUM(E18:H18)</f>
        <v>4</v>
      </c>
      <c r="J18" s="500" t="s">
        <v>245</v>
      </c>
      <c r="K18" s="500" t="s">
        <v>113</v>
      </c>
      <c r="L18" s="508">
        <v>2</v>
      </c>
      <c r="M18" s="500" t="s">
        <v>255</v>
      </c>
      <c r="N18" s="684" t="s">
        <v>241</v>
      </c>
      <c r="O18" s="687">
        <v>3</v>
      </c>
      <c r="P18" s="500" t="s">
        <v>247</v>
      </c>
      <c r="Q18" s="572">
        <f>R18+S18+T18</f>
        <v>751815040</v>
      </c>
      <c r="R18" s="689">
        <f>756000000-630000000-4184960</f>
        <v>121815040</v>
      </c>
      <c r="S18" s="690">
        <v>0</v>
      </c>
      <c r="T18" s="690">
        <v>630000000</v>
      </c>
      <c r="U18" s="583">
        <v>30000000</v>
      </c>
      <c r="V18" s="698" t="s">
        <v>423</v>
      </c>
      <c r="W18" s="548" t="s">
        <v>430</v>
      </c>
      <c r="X18" s="548" t="s">
        <v>431</v>
      </c>
      <c r="Y18" s="548" t="s">
        <v>458</v>
      </c>
      <c r="Z18" s="706" t="s">
        <v>455</v>
      </c>
      <c r="AC18" s="360"/>
    </row>
    <row r="19" spans="2:30" ht="231" customHeight="1" x14ac:dyDescent="0.3">
      <c r="B19" s="518"/>
      <c r="C19" s="269" t="s">
        <v>256</v>
      </c>
      <c r="D19" s="76" t="s">
        <v>257</v>
      </c>
      <c r="E19" s="82">
        <v>0</v>
      </c>
      <c r="F19" s="82">
        <v>0</v>
      </c>
      <c r="G19" s="270">
        <v>0</v>
      </c>
      <c r="H19" s="270">
        <v>1</v>
      </c>
      <c r="I19" s="272">
        <f>H19</f>
        <v>1</v>
      </c>
      <c r="J19" s="500"/>
      <c r="K19" s="500"/>
      <c r="L19" s="508"/>
      <c r="M19" s="500"/>
      <c r="N19" s="684"/>
      <c r="O19" s="688"/>
      <c r="P19" s="500"/>
      <c r="Q19" s="572"/>
      <c r="R19" s="689"/>
      <c r="S19" s="691"/>
      <c r="T19" s="691"/>
      <c r="U19" s="584"/>
      <c r="V19" s="698"/>
      <c r="W19" s="548"/>
      <c r="X19" s="548"/>
      <c r="Y19" s="548"/>
      <c r="Z19" s="707"/>
    </row>
    <row r="20" spans="2:30" x14ac:dyDescent="0.3">
      <c r="B20" s="132" t="s">
        <v>258</v>
      </c>
      <c r="C20" s="133"/>
      <c r="D20" s="133"/>
      <c r="E20" s="133"/>
      <c r="F20" s="134"/>
      <c r="G20" s="134"/>
      <c r="H20" s="134"/>
      <c r="I20" s="134"/>
      <c r="J20" s="134"/>
      <c r="K20" s="134"/>
      <c r="L20" s="134"/>
      <c r="M20" s="134"/>
      <c r="N20" s="134"/>
      <c r="O20" s="134"/>
      <c r="P20" s="134"/>
      <c r="Q20" s="134"/>
      <c r="R20" s="134"/>
      <c r="S20" s="134"/>
      <c r="T20" s="134"/>
      <c r="U20" s="134"/>
      <c r="V20" s="696"/>
      <c r="W20" s="697"/>
      <c r="X20" s="697"/>
      <c r="Y20" s="697"/>
    </row>
    <row r="21" spans="2:30" x14ac:dyDescent="0.3">
      <c r="B21" s="521" t="s">
        <v>259</v>
      </c>
      <c r="C21" s="521"/>
      <c r="D21" s="521"/>
      <c r="E21" s="521"/>
      <c r="F21" s="521"/>
      <c r="G21" s="521"/>
      <c r="H21" s="521"/>
      <c r="I21" s="521"/>
      <c r="J21" s="521"/>
      <c r="K21" s="521"/>
      <c r="L21" s="521"/>
      <c r="M21" s="521"/>
      <c r="N21" s="521"/>
      <c r="O21" s="521"/>
      <c r="P21" s="521"/>
      <c r="Q21" s="521"/>
      <c r="R21" s="521"/>
      <c r="S21" s="521"/>
      <c r="T21" s="521"/>
      <c r="U21" s="521"/>
      <c r="V21" s="696"/>
      <c r="W21" s="697"/>
      <c r="X21" s="697"/>
      <c r="Y21" s="697"/>
    </row>
    <row r="22" spans="2:30" ht="409.5" x14ac:dyDescent="0.3">
      <c r="B22" s="277" t="s">
        <v>260</v>
      </c>
      <c r="C22" s="268" t="s">
        <v>261</v>
      </c>
      <c r="D22" s="269" t="s">
        <v>262</v>
      </c>
      <c r="E22" s="270">
        <v>1</v>
      </c>
      <c r="F22" s="270">
        <v>1</v>
      </c>
      <c r="G22" s="270">
        <v>1</v>
      </c>
      <c r="H22" s="270">
        <v>1</v>
      </c>
      <c r="I22" s="272">
        <f>SUM(E22:H22)</f>
        <v>4</v>
      </c>
      <c r="J22" s="269" t="s">
        <v>245</v>
      </c>
      <c r="K22" s="269" t="s">
        <v>113</v>
      </c>
      <c r="L22" s="357">
        <v>3</v>
      </c>
      <c r="M22" s="269" t="s">
        <v>263</v>
      </c>
      <c r="N22" s="271" t="s">
        <v>241</v>
      </c>
      <c r="O22" s="278">
        <v>4</v>
      </c>
      <c r="P22" s="269" t="s">
        <v>264</v>
      </c>
      <c r="Q22" s="282">
        <f>R22+S22+T22</f>
        <v>865684960</v>
      </c>
      <c r="R22" s="274">
        <f>911500000-50000000+4184960</f>
        <v>865684960</v>
      </c>
      <c r="S22" s="274">
        <v>0</v>
      </c>
      <c r="T22" s="274">
        <v>0</v>
      </c>
      <c r="U22" s="274">
        <f>85489529-9184900+19184000</f>
        <v>95488629</v>
      </c>
      <c r="V22" s="362" t="s">
        <v>424</v>
      </c>
      <c r="W22" s="361" t="s">
        <v>456</v>
      </c>
      <c r="X22" s="361" t="s">
        <v>425</v>
      </c>
      <c r="Y22" s="361" t="s">
        <v>617</v>
      </c>
      <c r="Z22" s="373" t="s">
        <v>457</v>
      </c>
    </row>
    <row r="23" spans="2:30" x14ac:dyDescent="0.3">
      <c r="B23" s="521" t="s">
        <v>265</v>
      </c>
      <c r="C23" s="521"/>
      <c r="D23" s="521"/>
      <c r="E23" s="521"/>
      <c r="F23" s="521"/>
      <c r="G23" s="521"/>
      <c r="H23" s="521"/>
      <c r="I23" s="521"/>
      <c r="J23" s="521"/>
      <c r="K23" s="521"/>
      <c r="L23" s="521"/>
      <c r="M23" s="521"/>
      <c r="N23" s="521"/>
      <c r="O23" s="521"/>
      <c r="P23" s="521"/>
      <c r="Q23" s="521"/>
      <c r="R23" s="521"/>
      <c r="S23" s="521"/>
      <c r="T23" s="521"/>
      <c r="U23" s="521"/>
      <c r="V23" s="696"/>
      <c r="W23" s="697"/>
      <c r="X23" s="697"/>
      <c r="Y23" s="697"/>
      <c r="AA23" s="359"/>
      <c r="AB23" s="359"/>
      <c r="AC23" s="359"/>
    </row>
    <row r="24" spans="2:30" x14ac:dyDescent="0.3">
      <c r="B24" s="521" t="s">
        <v>154</v>
      </c>
      <c r="C24" s="521"/>
      <c r="D24" s="521"/>
      <c r="E24" s="521"/>
      <c r="F24" s="521"/>
      <c r="G24" s="521"/>
      <c r="H24" s="521"/>
      <c r="I24" s="521"/>
      <c r="J24" s="521"/>
      <c r="K24" s="521"/>
      <c r="L24" s="521"/>
      <c r="M24" s="521"/>
      <c r="N24" s="521"/>
      <c r="O24" s="521"/>
      <c r="P24" s="521"/>
      <c r="Q24" s="521"/>
      <c r="R24" s="521"/>
      <c r="S24" s="521"/>
      <c r="T24" s="521"/>
      <c r="U24" s="521"/>
      <c r="V24" s="696"/>
      <c r="W24" s="697"/>
      <c r="X24" s="697"/>
      <c r="Y24" s="697"/>
      <c r="AA24" s="359"/>
      <c r="AB24" s="359"/>
      <c r="AC24" s="359"/>
    </row>
    <row r="25" spans="2:30" x14ac:dyDescent="0.3">
      <c r="B25" s="521" t="s">
        <v>155</v>
      </c>
      <c r="C25" s="521"/>
      <c r="D25" s="521"/>
      <c r="E25" s="521"/>
      <c r="F25" s="521"/>
      <c r="G25" s="521"/>
      <c r="H25" s="521"/>
      <c r="I25" s="521"/>
      <c r="J25" s="521"/>
      <c r="K25" s="521"/>
      <c r="L25" s="521"/>
      <c r="M25" s="521"/>
      <c r="N25" s="521"/>
      <c r="O25" s="521"/>
      <c r="P25" s="521"/>
      <c r="Q25" s="521"/>
      <c r="R25" s="521"/>
      <c r="S25" s="521"/>
      <c r="T25" s="521"/>
      <c r="U25" s="521"/>
      <c r="V25" s="696"/>
      <c r="W25" s="697"/>
      <c r="X25" s="697"/>
      <c r="Y25" s="697"/>
      <c r="AA25" s="359"/>
      <c r="AB25" s="359"/>
      <c r="AC25" s="374"/>
    </row>
    <row r="26" spans="2:30" ht="235.5" customHeight="1" x14ac:dyDescent="0.3">
      <c r="B26" s="677" t="s">
        <v>156</v>
      </c>
      <c r="C26" s="680" t="s">
        <v>266</v>
      </c>
      <c r="D26" s="269" t="s">
        <v>267</v>
      </c>
      <c r="E26" s="82">
        <v>3</v>
      </c>
      <c r="F26" s="82">
        <v>3</v>
      </c>
      <c r="G26" s="82">
        <v>3</v>
      </c>
      <c r="H26" s="82">
        <v>3</v>
      </c>
      <c r="I26" s="272">
        <f>SUM(E26:H26)</f>
        <v>12</v>
      </c>
      <c r="J26" s="269" t="s">
        <v>245</v>
      </c>
      <c r="K26" s="490" t="s">
        <v>118</v>
      </c>
      <c r="L26" s="563">
        <v>4</v>
      </c>
      <c r="M26" s="490" t="s">
        <v>268</v>
      </c>
      <c r="N26" s="269" t="s">
        <v>241</v>
      </c>
      <c r="O26" s="137">
        <v>3</v>
      </c>
      <c r="P26" s="502" t="s">
        <v>269</v>
      </c>
      <c r="Q26" s="670">
        <f>R26+S26+T26</f>
        <v>771498590</v>
      </c>
      <c r="R26" s="587">
        <f>827500000-56001410-526001410</f>
        <v>245497180</v>
      </c>
      <c r="S26" s="587">
        <v>0</v>
      </c>
      <c r="T26" s="587">
        <v>526001410</v>
      </c>
      <c r="U26" s="587">
        <v>0</v>
      </c>
      <c r="V26" s="363" t="s">
        <v>432</v>
      </c>
      <c r="W26" s="361" t="s">
        <v>459</v>
      </c>
      <c r="X26" s="548" t="s">
        <v>672</v>
      </c>
      <c r="Y26" s="548" t="s">
        <v>484</v>
      </c>
      <c r="Z26" s="708" t="s">
        <v>486</v>
      </c>
    </row>
    <row r="27" spans="2:30" ht="71.25" customHeight="1" x14ac:dyDescent="0.3">
      <c r="B27" s="678"/>
      <c r="C27" s="681"/>
      <c r="D27" s="490" t="s">
        <v>270</v>
      </c>
      <c r="E27" s="663">
        <v>3</v>
      </c>
      <c r="F27" s="702">
        <v>0</v>
      </c>
      <c r="G27" s="663">
        <v>3</v>
      </c>
      <c r="H27" s="663">
        <v>2</v>
      </c>
      <c r="I27" s="563">
        <f>SUM(E27:H27)</f>
        <v>8</v>
      </c>
      <c r="J27" s="490" t="s">
        <v>245</v>
      </c>
      <c r="K27" s="491"/>
      <c r="L27" s="564"/>
      <c r="M27" s="491"/>
      <c r="N27" s="500" t="s">
        <v>271</v>
      </c>
      <c r="O27" s="701">
        <v>3</v>
      </c>
      <c r="P27" s="503"/>
      <c r="Q27" s="671"/>
      <c r="R27" s="666"/>
      <c r="S27" s="666"/>
      <c r="T27" s="666"/>
      <c r="U27" s="666"/>
      <c r="V27" s="698" t="s">
        <v>434</v>
      </c>
      <c r="W27" s="548" t="s">
        <v>436</v>
      </c>
      <c r="X27" s="548"/>
      <c r="Y27" s="548"/>
      <c r="Z27" s="709"/>
    </row>
    <row r="28" spans="2:30" ht="63" customHeight="1" x14ac:dyDescent="0.3">
      <c r="B28" s="678"/>
      <c r="C28" s="681"/>
      <c r="D28" s="491"/>
      <c r="E28" s="664"/>
      <c r="F28" s="703"/>
      <c r="G28" s="664"/>
      <c r="H28" s="664"/>
      <c r="I28" s="564"/>
      <c r="J28" s="491"/>
      <c r="K28" s="491"/>
      <c r="L28" s="564"/>
      <c r="M28" s="491"/>
      <c r="N28" s="500"/>
      <c r="O28" s="701"/>
      <c r="P28" s="503"/>
      <c r="Q28" s="671"/>
      <c r="R28" s="666"/>
      <c r="S28" s="666"/>
      <c r="T28" s="666"/>
      <c r="U28" s="666"/>
      <c r="V28" s="698"/>
      <c r="W28" s="548"/>
      <c r="X28" s="548"/>
      <c r="Y28" s="548"/>
      <c r="Z28" s="709"/>
    </row>
    <row r="29" spans="2:30" ht="134.25" customHeight="1" x14ac:dyDescent="0.3">
      <c r="B29" s="679"/>
      <c r="C29" s="682"/>
      <c r="D29" s="493"/>
      <c r="E29" s="665"/>
      <c r="F29" s="704"/>
      <c r="G29" s="665"/>
      <c r="H29" s="665"/>
      <c r="I29" s="568"/>
      <c r="J29" s="493"/>
      <c r="K29" s="493"/>
      <c r="L29" s="568"/>
      <c r="M29" s="493"/>
      <c r="N29" s="269" t="s">
        <v>357</v>
      </c>
      <c r="O29" s="349">
        <v>50</v>
      </c>
      <c r="P29" s="504"/>
      <c r="Q29" s="672"/>
      <c r="R29" s="588"/>
      <c r="S29" s="588"/>
      <c r="T29" s="588"/>
      <c r="U29" s="588"/>
      <c r="V29" s="362" t="s">
        <v>435</v>
      </c>
      <c r="W29" s="361" t="s">
        <v>433</v>
      </c>
      <c r="X29" s="548"/>
      <c r="Y29" s="548"/>
      <c r="Z29" s="709"/>
    </row>
    <row r="30" spans="2:30" x14ac:dyDescent="0.3">
      <c r="B30" s="501" t="s">
        <v>53</v>
      </c>
      <c r="C30" s="501"/>
      <c r="D30" s="501"/>
      <c r="E30" s="501"/>
      <c r="F30" s="501"/>
      <c r="G30" s="501"/>
      <c r="H30" s="501"/>
      <c r="I30" s="501"/>
      <c r="J30" s="501"/>
      <c r="K30" s="501"/>
      <c r="L30" s="501"/>
      <c r="M30" s="501"/>
      <c r="N30" s="501"/>
      <c r="O30" s="501"/>
      <c r="P30" s="501"/>
      <c r="Q30" s="138">
        <f>Q26+Q22+Q18+Q10</f>
        <v>5243998590</v>
      </c>
      <c r="R30" s="138">
        <f>R26+R22+R18+R10</f>
        <v>3743998590</v>
      </c>
      <c r="S30" s="175">
        <f>SUM(S10:S28)</f>
        <v>0</v>
      </c>
      <c r="T30" s="129">
        <f>SUM(T10:T28)</f>
        <v>1500000000</v>
      </c>
      <c r="U30" s="129">
        <f>SUM(U10:U28)</f>
        <v>125488629</v>
      </c>
      <c r="V30" s="696"/>
      <c r="W30" s="697"/>
      <c r="X30" s="697"/>
      <c r="Y30" s="697"/>
      <c r="AA30" s="359"/>
      <c r="AB30" s="374"/>
      <c r="AC30" s="359"/>
      <c r="AD30" s="359"/>
    </row>
    <row r="31" spans="2:30" ht="81.75" customHeight="1" x14ac:dyDescent="0.3">
      <c r="B31" s="695" t="s">
        <v>530</v>
      </c>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AA31" s="359"/>
      <c r="AB31" s="359"/>
      <c r="AC31" s="359"/>
      <c r="AD31" s="359"/>
    </row>
    <row r="32" spans="2:30" ht="55.5" customHeight="1" x14ac:dyDescent="0.3">
      <c r="B32" s="296" t="s">
        <v>393</v>
      </c>
      <c r="U32" s="314" t="s">
        <v>396</v>
      </c>
      <c r="AC32" s="375"/>
    </row>
    <row r="33" spans="2:2" x14ac:dyDescent="0.3">
      <c r="B33" s="309" t="s">
        <v>395</v>
      </c>
    </row>
  </sheetData>
  <mergeCells count="97">
    <mergeCell ref="Z10:Z12"/>
    <mergeCell ref="Z18:Z19"/>
    <mergeCell ref="Z26:Z29"/>
    <mergeCell ref="B7:U7"/>
    <mergeCell ref="X10:X12"/>
    <mergeCell ref="Y10:Y12"/>
    <mergeCell ref="V10:V11"/>
    <mergeCell ref="B8:J8"/>
    <mergeCell ref="L8:P8"/>
    <mergeCell ref="Q8:T8"/>
    <mergeCell ref="U8:U9"/>
    <mergeCell ref="B10:B11"/>
    <mergeCell ref="C10:C11"/>
    <mergeCell ref="D10:D11"/>
    <mergeCell ref="E10:E11"/>
    <mergeCell ref="F10:F11"/>
    <mergeCell ref="G10:G11"/>
    <mergeCell ref="T10:T12"/>
    <mergeCell ref="W7:Y7"/>
    <mergeCell ref="R2:U2"/>
    <mergeCell ref="L3:U3"/>
    <mergeCell ref="L4:U4"/>
    <mergeCell ref="B5:U5"/>
    <mergeCell ref="B6:U6"/>
    <mergeCell ref="S10:S12"/>
    <mergeCell ref="H10:H11"/>
    <mergeCell ref="I10:I11"/>
    <mergeCell ref="J10:J11"/>
    <mergeCell ref="K10:K11"/>
    <mergeCell ref="L10:L12"/>
    <mergeCell ref="M10:M12"/>
    <mergeCell ref="N10:N11"/>
    <mergeCell ref="O10:O11"/>
    <mergeCell ref="P10:P12"/>
    <mergeCell ref="Q10:Q12"/>
    <mergeCell ref="R10:R12"/>
    <mergeCell ref="U10:U12"/>
    <mergeCell ref="B13:U13"/>
    <mergeCell ref="B14:U14"/>
    <mergeCell ref="B15:U15"/>
    <mergeCell ref="S18:S19"/>
    <mergeCell ref="T18:T19"/>
    <mergeCell ref="B18:B19"/>
    <mergeCell ref="J18:J19"/>
    <mergeCell ref="K18:K19"/>
    <mergeCell ref="L18:L19"/>
    <mergeCell ref="M18:M19"/>
    <mergeCell ref="N18:N19"/>
    <mergeCell ref="B16:J16"/>
    <mergeCell ref="L16:P16"/>
    <mergeCell ref="Q16:T16"/>
    <mergeCell ref="U16:U17"/>
    <mergeCell ref="U18:U19"/>
    <mergeCell ref="B21:U21"/>
    <mergeCell ref="V13:Y17"/>
    <mergeCell ref="N27:N28"/>
    <mergeCell ref="O27:O28"/>
    <mergeCell ref="I27:I29"/>
    <mergeCell ref="P26:P29"/>
    <mergeCell ref="Q26:Q29"/>
    <mergeCell ref="R26:R29"/>
    <mergeCell ref="S26:S29"/>
    <mergeCell ref="D27:D29"/>
    <mergeCell ref="E27:E29"/>
    <mergeCell ref="F27:F29"/>
    <mergeCell ref="G27:G29"/>
    <mergeCell ref="H27:H29"/>
    <mergeCell ref="R18:R19"/>
    <mergeCell ref="V20:Y21"/>
    <mergeCell ref="J27:J29"/>
    <mergeCell ref="B30:P30"/>
    <mergeCell ref="B23:U23"/>
    <mergeCell ref="B24:U24"/>
    <mergeCell ref="B25:U25"/>
    <mergeCell ref="B26:B29"/>
    <mergeCell ref="C26:C29"/>
    <mergeCell ref="K26:K29"/>
    <mergeCell ref="L26:L29"/>
    <mergeCell ref="M26:M29"/>
    <mergeCell ref="T26:T29"/>
    <mergeCell ref="U26:U29"/>
    <mergeCell ref="Y8:Y9"/>
    <mergeCell ref="W8:X8"/>
    <mergeCell ref="B31:Y31"/>
    <mergeCell ref="V30:Y30"/>
    <mergeCell ref="V23:Y25"/>
    <mergeCell ref="W18:W19"/>
    <mergeCell ref="X18:X19"/>
    <mergeCell ref="Y18:Y19"/>
    <mergeCell ref="W27:W28"/>
    <mergeCell ref="X26:X29"/>
    <mergeCell ref="Y26:Y29"/>
    <mergeCell ref="O18:O19"/>
    <mergeCell ref="P18:P19"/>
    <mergeCell ref="Q18:Q19"/>
    <mergeCell ref="V18:V19"/>
    <mergeCell ref="V27:V28"/>
  </mergeCells>
  <conditionalFormatting sqref="E26:H26 E27">
    <cfRule type="expression" dxfId="55" priority="14" stopIfTrue="1">
      <formula>+IF((#REF!+#REF!+#REF!+#REF!+#REF!)&lt;&gt;$L26,1,0)</formula>
    </cfRule>
  </conditionalFormatting>
  <conditionalFormatting sqref="C12">
    <cfRule type="expression" dxfId="54" priority="13" stopIfTrue="1">
      <formula>+IF((#REF!+#REF!+#REF!+#REF!+#REF!)&lt;&gt;$M12,1,0)</formula>
    </cfRule>
  </conditionalFormatting>
  <conditionalFormatting sqref="D12">
    <cfRule type="expression" dxfId="53" priority="12" stopIfTrue="1">
      <formula>+IF((#REF!+#REF!+#REF!+#REF!+#REF!)&lt;&gt;$M12,1,0)</formula>
    </cfRule>
  </conditionalFormatting>
  <conditionalFormatting sqref="C12">
    <cfRule type="expression" dxfId="52" priority="11" stopIfTrue="1">
      <formula>+IF((#REF!+#REF!+#REF!+#REF!+#REF!)&lt;&gt;$M12,1,0)</formula>
    </cfRule>
  </conditionalFormatting>
  <conditionalFormatting sqref="D12">
    <cfRule type="expression" dxfId="51" priority="10" stopIfTrue="1">
      <formula>+IF((#REF!+#REF!+#REF!+#REF!+#REF!)&lt;&gt;$M12,1,0)</formula>
    </cfRule>
  </conditionalFormatting>
  <conditionalFormatting sqref="E22">
    <cfRule type="expression" dxfId="50" priority="9" stopIfTrue="1">
      <formula>+IF((#REF!+#REF!+#REF!+#REF!+#REF!)&lt;&gt;$L22,1,0)</formula>
    </cfRule>
  </conditionalFormatting>
  <conditionalFormatting sqref="F22:G22">
    <cfRule type="expression" dxfId="49" priority="8" stopIfTrue="1">
      <formula>+IF((#REF!+#REF!+#REF!+#REF!+#REF!)&lt;&gt;$L22,1,0)</formula>
    </cfRule>
  </conditionalFormatting>
  <conditionalFormatting sqref="C11">
    <cfRule type="expression" dxfId="48" priority="15" stopIfTrue="1">
      <formula>+IF((#REF!+#REF!+#REF!+#REF!+#REF!)&lt;&gt;$M10,1,0)</formula>
    </cfRule>
  </conditionalFormatting>
  <conditionalFormatting sqref="C10">
    <cfRule type="expression" dxfId="47" priority="16" stopIfTrue="1">
      <formula>+IF((#REF!+#REF!+#REF!+#REF!+#REF!)&lt;&gt;#REF!,1,0)</formula>
    </cfRule>
  </conditionalFormatting>
  <conditionalFormatting sqref="C11">
    <cfRule type="expression" dxfId="46" priority="17" stopIfTrue="1">
      <formula>+IF((#REF!+#REF!+#REF!+#REF!+#REF!)&lt;&gt;$N10,1,0)</formula>
    </cfRule>
  </conditionalFormatting>
  <conditionalFormatting sqref="C11">
    <cfRule type="expression" dxfId="45" priority="18" stopIfTrue="1">
      <formula>+IF((#REF!+#REF!+#REF!+#REF!+#REF!)&lt;&gt;$N10,1,0)</formula>
    </cfRule>
  </conditionalFormatting>
  <conditionalFormatting sqref="F27:H27">
    <cfRule type="expression" dxfId="44" priority="7" stopIfTrue="1">
      <formula>+IF((#REF!+#REF!+#REF!+#REF!+#REF!)&lt;&gt;$L27,1,0)</formula>
    </cfRule>
  </conditionalFormatting>
  <conditionalFormatting sqref="D10">
    <cfRule type="expression" dxfId="43" priority="6" stopIfTrue="1">
      <formula>+IF((#REF!+#REF!+#REF!+#REF!+#REF!)&lt;&gt;$M10,1,0)</formula>
    </cfRule>
  </conditionalFormatting>
  <conditionalFormatting sqref="D10">
    <cfRule type="expression" dxfId="42" priority="5" stopIfTrue="1">
      <formula>+IF((#REF!+#REF!+#REF!+#REF!+#REF!)&lt;&gt;$M10,1,0)</formula>
    </cfRule>
  </conditionalFormatting>
  <conditionalFormatting sqref="E12:H12">
    <cfRule type="expression" dxfId="41" priority="4" stopIfTrue="1">
      <formula>+IF((#REF!+#REF!+#REF!+#REF!+#REF!)&lt;&gt;$L12,1,0)</formula>
    </cfRule>
  </conditionalFormatting>
  <conditionalFormatting sqref="E12:H12">
    <cfRule type="expression" dxfId="40" priority="3" stopIfTrue="1">
      <formula>+IF((#REF!+#REF!+#REF!+#REF!+#REF!)&lt;&gt;$L12,1,0)</formula>
    </cfRule>
  </conditionalFormatting>
  <conditionalFormatting sqref="D22">
    <cfRule type="expression" dxfId="39" priority="2" stopIfTrue="1">
      <formula>+IF((#REF!+#REF!+#REF!+#REF!+#REF!)&lt;&gt;$M22,1,0)</formula>
    </cfRule>
  </conditionalFormatting>
  <conditionalFormatting sqref="O22">
    <cfRule type="expression" dxfId="38" priority="1" stopIfTrue="1">
      <formula>+IF((#REF!+#REF!+#REF!+#REF!+#REF!)&lt;&gt;$L22,1,0)</formula>
    </cfRule>
  </conditionalFormatting>
  <dataValidations count="4">
    <dataValidation type="list" allowBlank="1" showInputMessage="1" showErrorMessage="1" sqref="J10 J26:J27 J12 J22">
      <formula1>$U$40:$U$48</formula1>
    </dataValidation>
    <dataValidation type="list" allowBlank="1" showInputMessage="1" showErrorMessage="1" sqref="K10 K18 K26 K22 K12">
      <formula1>$I$34:$I$38</formula1>
    </dataValidation>
    <dataValidation type="list" allowBlank="1" showInputMessage="1" showErrorMessage="1" sqref="J18">
      <formula1>$U$39:$U$47</formula1>
    </dataValidation>
    <dataValidation type="list" allowBlank="1" showInputMessage="1" showErrorMessage="1" sqref="P26 P18 P10 P22">
      <formula1>$Q$32:$Q$56</formula1>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vt:i4>
      </vt:variant>
    </vt:vector>
  </HeadingPairs>
  <TitlesOfParts>
    <vt:vector size="22" baseType="lpstr">
      <vt:lpstr>PRESUPUESTO POA 2016</vt:lpstr>
      <vt:lpstr>METEOROLOGÍA</vt:lpstr>
      <vt:lpstr> Sgmto OCI Jun</vt:lpstr>
      <vt:lpstr>HIDROLOGÍA</vt:lpstr>
      <vt:lpstr>Sgmnto OCIJun</vt:lpstr>
      <vt:lpstr>ESTUDIOS AMBIENTALES</vt:lpstr>
      <vt:lpstr>Sgmnto OCI EST AMB</vt:lpstr>
      <vt:lpstr>ECOSISTEMAS</vt:lpstr>
      <vt:lpstr>Sgmnto OCI ECOS</vt:lpstr>
      <vt:lpstr>REDES</vt:lpstr>
      <vt:lpstr>Sgmnto OCI REDES</vt:lpstr>
      <vt:lpstr>INFORMÁTICA</vt:lpstr>
      <vt:lpstr>Sgmnto OCI INFOR</vt:lpstr>
      <vt:lpstr>PRONÓSTICOS</vt:lpstr>
      <vt:lpstr>Sgmnto OCI PRON</vt:lpstr>
      <vt:lpstr>SECRETARÍA GENERAL</vt:lpstr>
      <vt:lpstr>Sgmnto OCI SGRAL</vt:lpstr>
      <vt:lpstr>PLANEACIÓN</vt:lpstr>
      <vt:lpstr>Sgmnto OCI PLAN</vt:lpstr>
      <vt:lpstr>' Sgmto OCI Jun'!Área_de_impresión</vt:lpstr>
      <vt:lpstr>'ESTUDIOS AMBIENTALES'!Área_de_impresión</vt:lpstr>
      <vt:lpstr>'Sgmnto OCI EST AMB'!Área_de_impresión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Celmira Perez Fernandez;jlobo</dc:creator>
  <cp:lastModifiedBy>Jaime Hernando Arias Patino</cp:lastModifiedBy>
  <cp:lastPrinted>2016-09-05T20:31:53Z</cp:lastPrinted>
  <dcterms:created xsi:type="dcterms:W3CDTF">2014-11-14T17:12:42Z</dcterms:created>
  <dcterms:modified xsi:type="dcterms:W3CDTF">2016-10-25T13:10:10Z</dcterms:modified>
</cp:coreProperties>
</file>