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IDEAM PLANEACION\POA 2016\"/>
    </mc:Choice>
  </mc:AlternateContent>
  <bookViews>
    <workbookView xWindow="0" yWindow="1200" windowWidth="20730" windowHeight="8370" firstSheet="3" activeTab="8"/>
  </bookViews>
  <sheets>
    <sheet name="PRESUPUESTO POA 2016" sheetId="24" r:id="rId1"/>
    <sheet name="ESTUDIOS AMBIENTALES" sheetId="15" r:id="rId2"/>
    <sheet name="HIDROLOGÍA" sheetId="16" r:id="rId3"/>
    <sheet name="ECOSISTEMAS" sheetId="17" r:id="rId4"/>
    <sheet name="METEOROLOGÍA" sheetId="18" r:id="rId5"/>
    <sheet name="REDES" sheetId="19" r:id="rId6"/>
    <sheet name="PRONÓSTICOS" sheetId="20" r:id="rId7"/>
    <sheet name="INFORMÁTICA" sheetId="21" r:id="rId8"/>
    <sheet name="PLANEACIÓN" sheetId="22" r:id="rId9"/>
    <sheet name="SECRETARÍA GENERAL" sheetId="23" r:id="rId10"/>
  </sheets>
  <externalReferences>
    <externalReference r:id="rId11"/>
  </externalReferences>
  <definedNames>
    <definedName name="_xlnm.Print_Area" localSheetId="1">'ESTUDIOS AMBIENTALES'!$I$2:$AC$45</definedName>
    <definedName name="Tipos_de_proceso_de_seleccion">'[1]3. DETALLE PLAN DE CONTRATACION'!$L$493:$L$502</definedName>
  </definedNames>
  <calcPr calcId="162913"/>
</workbook>
</file>

<file path=xl/calcChain.xml><?xml version="1.0" encoding="utf-8"?>
<calcChain xmlns="http://schemas.openxmlformats.org/spreadsheetml/2006/main">
  <c r="R9" i="18" l="1"/>
  <c r="Q9" i="18"/>
  <c r="I9" i="19"/>
  <c r="Q9" i="19"/>
  <c r="R16" i="16"/>
  <c r="Q16" i="16"/>
  <c r="R31" i="16"/>
  <c r="R10" i="23"/>
  <c r="R8" i="23"/>
  <c r="Q8" i="23"/>
  <c r="R14" i="21"/>
  <c r="R12" i="21"/>
  <c r="Y36" i="15"/>
  <c r="Y18" i="15"/>
  <c r="X18" i="15"/>
  <c r="U20" i="23"/>
  <c r="R22" i="17"/>
  <c r="R18" i="17"/>
  <c r="Q18" i="17"/>
  <c r="U22" i="17"/>
  <c r="U22" i="23"/>
  <c r="O12" i="24"/>
  <c r="T14" i="16"/>
  <c r="R19" i="16"/>
  <c r="Q19" i="16"/>
  <c r="R26" i="16"/>
  <c r="R14" i="16"/>
  <c r="U12" i="21"/>
  <c r="U15" i="21"/>
  <c r="O10" i="24"/>
  <c r="U19" i="16"/>
  <c r="U12" i="20"/>
  <c r="U11" i="22"/>
  <c r="R11" i="19"/>
  <c r="R16" i="19"/>
  <c r="J9" i="24"/>
  <c r="I13" i="16"/>
  <c r="T65" i="18"/>
  <c r="U30" i="18"/>
  <c r="U17" i="16"/>
  <c r="U17" i="18"/>
  <c r="U65" i="18"/>
  <c r="O5" i="24"/>
  <c r="R22" i="16"/>
  <c r="R11" i="22"/>
  <c r="R14" i="22"/>
  <c r="J13" i="24"/>
  <c r="Z36" i="15"/>
  <c r="Q30" i="18"/>
  <c r="R30" i="18"/>
  <c r="Q11" i="16"/>
  <c r="R26" i="17"/>
  <c r="R10" i="17"/>
  <c r="Y15" i="15"/>
  <c r="X15" i="15"/>
  <c r="R10" i="21"/>
  <c r="M15" i="24"/>
  <c r="L5" i="24"/>
  <c r="T14" i="22"/>
  <c r="S14" i="22"/>
  <c r="U15" i="20"/>
  <c r="O11" i="24"/>
  <c r="T15" i="20"/>
  <c r="S15" i="20"/>
  <c r="U16" i="19"/>
  <c r="O9" i="24"/>
  <c r="T16" i="19"/>
  <c r="L9" i="24"/>
  <c r="S16" i="19"/>
  <c r="K9" i="24"/>
  <c r="T34" i="16"/>
  <c r="L6" i="24"/>
  <c r="S34" i="16"/>
  <c r="AA45" i="15"/>
  <c r="L7" i="24"/>
  <c r="O23" i="24"/>
  <c r="O24" i="24"/>
  <c r="O25" i="24"/>
  <c r="L27" i="24"/>
  <c r="R11" i="20"/>
  <c r="R15" i="20"/>
  <c r="U14" i="16"/>
  <c r="U34" i="16"/>
  <c r="O6" i="24"/>
  <c r="Q20" i="23"/>
  <c r="U14" i="22"/>
  <c r="O13" i="24"/>
  <c r="Q12" i="22"/>
  <c r="Q14" i="20"/>
  <c r="Q12" i="20"/>
  <c r="Q11" i="20"/>
  <c r="Q10" i="20"/>
  <c r="Q9" i="20"/>
  <c r="Q15" i="19"/>
  <c r="Q12" i="19"/>
  <c r="Q11" i="19"/>
  <c r="Q16" i="19"/>
  <c r="M9" i="24"/>
  <c r="Q14" i="16"/>
  <c r="Q17" i="16"/>
  <c r="Q18" i="16"/>
  <c r="Q22" i="16"/>
  <c r="Q33" i="16"/>
  <c r="Z45" i="15"/>
  <c r="X44" i="15"/>
  <c r="X43" i="15"/>
  <c r="X32" i="15"/>
  <c r="X25" i="15"/>
  <c r="X19" i="15"/>
  <c r="X17" i="15"/>
  <c r="X16" i="15"/>
  <c r="AC45" i="15"/>
  <c r="O7" i="24"/>
  <c r="Y31" i="15"/>
  <c r="L25" i="24"/>
  <c r="T22" i="23"/>
  <c r="L12" i="24"/>
  <c r="S22" i="23"/>
  <c r="K12" i="24"/>
  <c r="I19" i="23"/>
  <c r="I18" i="23"/>
  <c r="Q15" i="23"/>
  <c r="Q22" i="23"/>
  <c r="M12" i="24"/>
  <c r="I15" i="23"/>
  <c r="I12" i="23"/>
  <c r="I11" i="23"/>
  <c r="Q10" i="23"/>
  <c r="I10" i="23"/>
  <c r="I9" i="23"/>
  <c r="I8" i="23"/>
  <c r="L13" i="24"/>
  <c r="K13" i="24"/>
  <c r="I13" i="22"/>
  <c r="I11" i="22"/>
  <c r="T15" i="21"/>
  <c r="L10" i="24"/>
  <c r="S15" i="21"/>
  <c r="K10" i="24"/>
  <c r="R15" i="21"/>
  <c r="J10" i="24"/>
  <c r="Q14" i="21"/>
  <c r="Q13" i="21"/>
  <c r="Q12" i="21"/>
  <c r="Q11" i="21"/>
  <c r="Q10" i="21"/>
  <c r="I14" i="21"/>
  <c r="I13" i="21"/>
  <c r="I11" i="21"/>
  <c r="I10" i="21"/>
  <c r="L11" i="24"/>
  <c r="O12" i="20"/>
  <c r="O10" i="20"/>
  <c r="I14" i="20"/>
  <c r="H12" i="20"/>
  <c r="G12" i="20"/>
  <c r="I12" i="20"/>
  <c r="F12" i="20"/>
  <c r="E12" i="20"/>
  <c r="I11" i="20"/>
  <c r="H10" i="20"/>
  <c r="G10" i="20"/>
  <c r="F10" i="20"/>
  <c r="E10" i="20"/>
  <c r="I10" i="20"/>
  <c r="I9" i="20"/>
  <c r="Q13" i="19"/>
  <c r="Q14" i="19"/>
  <c r="U30" i="17"/>
  <c r="O8" i="24"/>
  <c r="T30" i="17"/>
  <c r="L8" i="24"/>
  <c r="S30" i="17"/>
  <c r="K8" i="24"/>
  <c r="Q26" i="17"/>
  <c r="Q22" i="17"/>
  <c r="Q10" i="17"/>
  <c r="I27" i="17"/>
  <c r="I26" i="17"/>
  <c r="I22" i="17"/>
  <c r="I19" i="17"/>
  <c r="I18" i="17"/>
  <c r="I12" i="17"/>
  <c r="I10" i="17"/>
  <c r="I14" i="19"/>
  <c r="I13" i="19"/>
  <c r="I12" i="19"/>
  <c r="Q10" i="18"/>
  <c r="Q18" i="18"/>
  <c r="Q17" i="18"/>
  <c r="Q16" i="18"/>
  <c r="Q25" i="18"/>
  <c r="S65" i="18"/>
  <c r="K5" i="24"/>
  <c r="K14" i="24"/>
  <c r="K18" i="24"/>
  <c r="I25" i="18"/>
  <c r="I19" i="18"/>
  <c r="I18" i="18"/>
  <c r="O17" i="18"/>
  <c r="I16" i="18"/>
  <c r="I9" i="18"/>
  <c r="K6" i="24"/>
  <c r="I33" i="16"/>
  <c r="I32" i="16"/>
  <c r="I31" i="16"/>
  <c r="Q26" i="16"/>
  <c r="I25" i="16"/>
  <c r="I24" i="16"/>
  <c r="I23" i="16"/>
  <c r="I22" i="16"/>
  <c r="I20" i="16"/>
  <c r="I19" i="16"/>
  <c r="I18" i="16"/>
  <c r="I16" i="16"/>
  <c r="I15" i="16"/>
  <c r="Q13" i="16"/>
  <c r="I11" i="16"/>
  <c r="K7" i="24"/>
  <c r="V36" i="15"/>
  <c r="P15" i="15"/>
  <c r="P36" i="15"/>
  <c r="P32" i="15"/>
  <c r="P44" i="15"/>
  <c r="P43" i="15"/>
  <c r="AB45" i="15"/>
  <c r="X11" i="15"/>
  <c r="P11" i="15"/>
  <c r="Q15" i="21"/>
  <c r="M10" i="24"/>
  <c r="K11" i="24"/>
  <c r="Q30" i="17"/>
  <c r="M8" i="24"/>
  <c r="R30" i="17"/>
  <c r="J8" i="24"/>
  <c r="X36" i="15"/>
  <c r="X31" i="15"/>
  <c r="L14" i="24"/>
  <c r="L18" i="24"/>
  <c r="Q15" i="20"/>
  <c r="M11" i="24"/>
  <c r="J11" i="24"/>
  <c r="O14" i="24"/>
  <c r="O20" i="24"/>
  <c r="R65" i="18"/>
  <c r="Q11" i="22"/>
  <c r="Q14" i="22"/>
  <c r="M13" i="24"/>
  <c r="R22" i="23"/>
  <c r="J12" i="24"/>
  <c r="R34" i="16"/>
  <c r="Y45" i="15"/>
  <c r="J6" i="24"/>
  <c r="Q34" i="16"/>
  <c r="M6" i="24"/>
  <c r="X45" i="15"/>
  <c r="M7" i="24"/>
  <c r="J7" i="24"/>
  <c r="J5" i="24"/>
  <c r="Q65" i="18"/>
  <c r="M5" i="24"/>
  <c r="M14" i="24"/>
  <c r="J14" i="24"/>
  <c r="J18" i="24"/>
  <c r="M18" i="24"/>
</calcChain>
</file>

<file path=xl/comments1.xml><?xml version="1.0" encoding="utf-8"?>
<comments xmlns="http://schemas.openxmlformats.org/spreadsheetml/2006/main">
  <authors>
    <author>jpolo</author>
    <author>Celmira Perez Fernandez</author>
  </authors>
  <commentList>
    <comment ref="AB1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14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18" authorId="1" shapeId="0">
      <text>
        <r>
          <rPr>
            <b/>
            <sz val="9"/>
            <color indexed="81"/>
            <rFont val="Tahoma"/>
            <family val="2"/>
          </rPr>
          <t>Jun.2 tras de la act. 9 de Estudios Ambientales
$10000000</t>
        </r>
      </text>
    </comment>
    <comment ref="AB3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35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Jun.2 tras a la act. 4 de Estudios Ambientales $10000000</t>
        </r>
      </text>
    </comment>
    <comment ref="AB42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</commentList>
</comments>
</file>

<file path=xl/comments2.xml><?xml version="1.0" encoding="utf-8"?>
<comments xmlns="http://schemas.openxmlformats.org/spreadsheetml/2006/main">
  <authors>
    <author>Celmira Perez Fernandez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Feb.29 tras de la act. 10 de Hidrología $42000000
</t>
        </r>
      </text>
    </comment>
    <comment ref="R16" authorId="0" shapeId="0">
      <text>
        <r>
          <rPr>
            <b/>
            <sz val="9"/>
            <color indexed="81"/>
            <rFont val="Tahoma"/>
            <charset val="1"/>
          </rPr>
          <t xml:space="preserve">Jun.28 tras de la act. 10 de Hidrología $66,200,000
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 xml:space="preserve">Feb.10 tras a la act. 7 de Hidrogología $9750000
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 xml:space="preserve">Feb.10 tras de la act. 5 de Hidrología $9750000
Feb.18 tras de Sría Gral $53050000
Abr. 21 tras de la act. 4 de Sría Gral $2700000
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 xml:space="preserve">Ene.20 tras de la act. 8 a la 9 de Hidrología $6720000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Ene.20 Tras de la act. 9 de Hidrologia $6720000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 xml:space="preserve">Feb.29 tras a la act. 3 de Hidrología $42000000
Jun.28 tras a la act. 4 de Hidrología $66200000
</t>
        </r>
      </text>
    </comment>
  </commentList>
</comments>
</file>

<file path=xl/comments3.xml><?xml version="1.0" encoding="utf-8"?>
<comments xmlns="http://schemas.openxmlformats.org/spreadsheetml/2006/main">
  <authors>
    <author>Celmira Perez Fernandez</author>
    <author>Maria Saralux Valbuena Lopez</author>
    <author>Reinaldo Sánchez López</author>
    <author>Natalia Esperanza Cordoba Camacho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Feb.18 se ajusta meta por solicitud de la Sub. Ecosistemas Rad.20165000000573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Susceptibilidad a la salinización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Salinización y compactación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Desertificación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Línea base de degradación de suelos consolidada</t>
        </r>
      </text>
    </comment>
    <comment ref="O18" authorId="2" shapeId="0">
      <text>
        <r>
          <rPr>
            <b/>
            <sz val="9"/>
            <color indexed="81"/>
            <rFont val="Tahoma"/>
            <family val="2"/>
          </rPr>
          <t>Reinaldo Sánchez López:</t>
        </r>
        <r>
          <rPr>
            <sz val="9"/>
            <color indexed="81"/>
            <rFont val="Tahoma"/>
            <family val="2"/>
          </rPr>
          <t xml:space="preserve">
Teniendo en cuenta el ajuste en los recursos, se cambia la meta a tres: Mapa avance salinización, memoria técnica de avance salinización, memoria técnica información SGC
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Abr.27 Tras a la act. 3 de Ecosistemas $4184960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2 de ecosistemas (mapa y memoria técnica).
2 de cubo (documento memoria explicativa de la validación técnica realizada y Desarrollo del  Cubo de datos de imágenes de Satélite en los temas de corrección  geométrica.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Abr.27 Tras de la act. 2 de Ecosistemas $4184960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Feb.18 tras de Sría Gral $9184900
Feb.18 tras de Sría Gral $19184000</t>
        </r>
      </text>
    </comment>
    <comment ref="N26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Productos contrato indicadores (Hojas metodológicas actualizadas a la batería propuesta) 
Aplicación de recomendaciones de gobierno en línea en el portal SIAC
Pliegos para la contratación de consultoria RETC.
Documentación de estandarización de intercambio de datos</t>
        </r>
      </text>
    </comment>
    <comment ref="N27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Buscador semántico 
Intercambio de datos SIB-SINCHI-INVEMAR
Gestor de cifras.</t>
        </r>
      </text>
    </comment>
  </commentList>
</comments>
</file>

<file path=xl/comments4.xml><?xml version="1.0" encoding="utf-8"?>
<comments xmlns="http://schemas.openxmlformats.org/spreadsheetml/2006/main">
  <authors>
    <author>Celmira Perez Fernandez</author>
  </authors>
  <commentList>
    <comment ref="U17" authorId="0" shapeId="0">
      <text>
        <r>
          <rPr>
            <b/>
            <sz val="9"/>
            <color indexed="81"/>
            <rFont val="Tahoma"/>
            <family val="2"/>
          </rPr>
          <t>Ene.26 tras a la act. 7 de Meteorología Rad.20164000000163 $4000000</t>
        </r>
      </text>
    </comment>
    <comment ref="U30" authorId="0" shapeId="0">
      <text>
        <r>
          <rPr>
            <b/>
            <sz val="9"/>
            <color indexed="81"/>
            <rFont val="Tahoma"/>
            <family val="2"/>
          </rPr>
          <t xml:space="preserve">Nov.26 tras de la act. 4, de Meteorología Rad.20164000000163 $4000000
Feb. 18 tras de Sría Gral $8000000
</t>
        </r>
      </text>
    </comment>
  </commentList>
</comments>
</file>

<file path=xl/comments5.xml><?xml version="1.0" encoding="utf-8"?>
<comments xmlns="http://schemas.openxmlformats.org/spreadsheetml/2006/main">
  <authors>
    <author>Celmira Perez Fernandez</author>
  </authors>
  <commentList>
    <comment ref="R11" authorId="0" shapeId="0">
      <text>
        <r>
          <rPr>
            <b/>
            <sz val="9"/>
            <color indexed="81"/>
            <rFont val="Tahoma"/>
            <family val="2"/>
          </rPr>
          <t>Mar.2 tras a la act. 1 Sría Gral $370000000
rad.20167000001923</t>
        </r>
      </text>
    </comment>
  </commentList>
</comments>
</file>

<file path=xl/comments6.xml><?xml version="1.0" encoding="utf-8"?>
<comments xmlns="http://schemas.openxmlformats.org/spreadsheetml/2006/main">
  <authors>
    <author>Celmira Perez Fernandez</author>
  </authors>
  <commentList>
    <comment ref="U12" authorId="0" shapeId="0">
      <text>
        <r>
          <rPr>
            <b/>
            <sz val="9"/>
            <color indexed="81"/>
            <rFont val="Tahoma"/>
            <family val="2"/>
          </rPr>
          <t xml:space="preserve">Abr.21 Tras de la Act. 4 de Sría Gral </t>
        </r>
        <r>
          <rPr>
            <b/>
            <u/>
            <sz val="9"/>
            <color indexed="81"/>
            <rFont val="Tahoma"/>
            <family val="2"/>
          </rPr>
          <t>$216462493 y 9438355</t>
        </r>
      </text>
    </comment>
  </commentList>
</comments>
</file>

<file path=xl/comments7.xml><?xml version="1.0" encoding="utf-8"?>
<comments xmlns="http://schemas.openxmlformats.org/spreadsheetml/2006/main">
  <authors>
    <author>Celmira Perez Fernandez</author>
  </authors>
  <commentList>
    <comment ref="R12" authorId="0" shapeId="0">
      <text>
        <r>
          <rPr>
            <b/>
            <sz val="9"/>
            <color indexed="81"/>
            <rFont val="Tahoma"/>
            <charset val="1"/>
          </rPr>
          <t>Jun.15 tras a la act. 5 de Informática $94000000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Abr.4 tras a la act.4 de Sría Gral $2266887,65</t>
        </r>
      </text>
    </comment>
    <comment ref="R14" authorId="0" shapeId="0">
      <text>
        <r>
          <rPr>
            <b/>
            <sz val="9"/>
            <color indexed="81"/>
            <rFont val="Tahoma"/>
            <charset val="1"/>
          </rPr>
          <t>Jun.15 Tras de la act. 3 de Informática $94000000</t>
        </r>
      </text>
    </comment>
  </commentList>
</comments>
</file>

<file path=xl/comments8.xml><?xml version="1.0" encoding="utf-8"?>
<comments xmlns="http://schemas.openxmlformats.org/spreadsheetml/2006/main">
  <authors>
    <author>Celmira Perez Fernandez</author>
  </authors>
  <commentList>
    <comment ref="U11" authorId="0" shapeId="0">
      <text>
        <r>
          <rPr>
            <sz val="9"/>
            <color indexed="81"/>
            <rFont val="Tahoma"/>
            <family val="2"/>
          </rPr>
          <t>Abr.21 tras de la act. 4 de Sría Gral $61000000</t>
        </r>
      </text>
    </comment>
  </commentList>
</comments>
</file>

<file path=xl/comments9.xml><?xml version="1.0" encoding="utf-8"?>
<comments xmlns="http://schemas.openxmlformats.org/spreadsheetml/2006/main">
  <authors>
    <author>Celmira Perez Fernandez</author>
  </authors>
  <commentList>
    <comment ref="R8" authorId="0" shapeId="0">
      <text>
        <r>
          <rPr>
            <b/>
            <sz val="9"/>
            <color indexed="81"/>
            <rFont val="Tahoma"/>
            <family val="2"/>
          </rPr>
          <t>Mar.2 tras de la act.2 de Redes $370000000 Rad.20167000001923 Jun.27 se tras a la act. 2 de Sría Gral $300000000</t>
        </r>
      </text>
    </comment>
    <comment ref="R10" authorId="0" shapeId="0">
      <text>
        <r>
          <rPr>
            <b/>
            <sz val="9"/>
            <color indexed="81"/>
            <rFont val="Tahoma"/>
            <charset val="1"/>
          </rPr>
          <t>Jun.27 se tras de la act. 1 de Sría Gral $300000000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Tras a la act. 3 de Ecosistemas $85489529
Feb.18 tras a la act. 7 de Hidrología $53050000, a la act. 7 de Meteorología $8000000 y a a act. 3 de Ecososistemas $9184900 y 19184000
Abr.4 tras de la act. 3 de Informática $2266887,65
Abr. 21 traslado de Dirección General $1208079111
Abr.21 tras a Pronosticos act. 4 $216462493, Tras a Pronosticos Act. 4 $9438355, Tras a Planeación Act. 1 61000000  y Tras a Hidrología $27000000
Feb.tras de Dirección General $85489529
Mayo.13 Ajuste de acuerdo al plan de contratación. -$
750005000</t>
        </r>
      </text>
    </comment>
  </commentList>
</comments>
</file>

<file path=xl/sharedStrings.xml><?xml version="1.0" encoding="utf-8"?>
<sst xmlns="http://schemas.openxmlformats.org/spreadsheetml/2006/main" count="1053" uniqueCount="388">
  <si>
    <t>INSTITUTO DE HIDROLOGÍA, METEOROLOGÍA Y ESTUDIOS AMBIENTALES</t>
  </si>
  <si>
    <t>INSTITUTO DE HIDROLOGÍA, METEOROLOGÍA Y ESTUDIOS AMBIENTALES (IDEAM)</t>
  </si>
  <si>
    <t>OFICINA ASESORA DE PLANEACIÓN</t>
  </si>
  <si>
    <t>PLAN INDICATIVO CUATRIENAL</t>
  </si>
  <si>
    <t>R   E   C   U   R   S   O   S</t>
  </si>
  <si>
    <t>No</t>
  </si>
  <si>
    <t>CAPITULO PLAN NACIONAL DE DESARROLLO</t>
  </si>
  <si>
    <t>SUBCAPITULO PLAN NACIONAL DE DESARROLLO</t>
  </si>
  <si>
    <t>PROGRAMA PLAN NACIONAL DE DESARROLLO</t>
  </si>
  <si>
    <t>LINEAMIENTO ESTRATÉGICO PLAN NACIONAL DE DESARROLLO</t>
  </si>
  <si>
    <t>ACTIVIDADES CUATRIENIO NACIONALES</t>
  </si>
  <si>
    <t>No ACTIVIDAD CUATRIENIO</t>
  </si>
  <si>
    <t>PRODUCTO ESPERADO</t>
  </si>
  <si>
    <t>INDICADOR INSTITUCIONAL</t>
  </si>
  <si>
    <t>No. ACT.</t>
  </si>
  <si>
    <t>INDICADOR ACTIVIDAD</t>
  </si>
  <si>
    <t>META ACTIVIDAD</t>
  </si>
  <si>
    <t>INVERSIÓN</t>
  </si>
  <si>
    <t>APORTES DE LA NACIÓN</t>
  </si>
  <si>
    <t>RECURSOS PROPIOS</t>
  </si>
  <si>
    <t>BANCO MUNDIAL - IDS</t>
  </si>
  <si>
    <t>OTROS</t>
  </si>
  <si>
    <t>Subdirección de Estudios Ambientales</t>
  </si>
  <si>
    <t>Objetivo 2 PND 2015-2018: Proteger y asegurar el uso sostenible del capital natural y mejorar la calidad ambiental.</t>
  </si>
  <si>
    <t>META 2015</t>
  </si>
  <si>
    <t>META 2016</t>
  </si>
  <si>
    <t>META 2017</t>
  </si>
  <si>
    <t>META 2018</t>
  </si>
  <si>
    <t>META CUATRIENIO</t>
  </si>
  <si>
    <t>DEPENDENCIA RESPONSABLE</t>
  </si>
  <si>
    <t>Disponer de los instrumentos necesarios para garantizar el suministro de datos e información ambiental por parte de las organizaciones e instituciones públicas y privadas.</t>
  </si>
  <si>
    <t>ACTIVIDAD POA 2015</t>
  </si>
  <si>
    <t>POA 2015 - PROYECTO DE INVERSIÓN</t>
  </si>
  <si>
    <t>Implementar el Programa de Control de la Contaminación y Uso eficiente del Recurso Hídrico en el cual las entidades del SINA apoyarán a los sectores productivos  en la formulación de planes para la reducción de la contaminación, con énfasis en reconversión a tecnologías más limpias en vertimientos.</t>
  </si>
  <si>
    <t>Estrategia 1: Conservar y asegurar el uso sostenible del capital natural marino y continental de la Nación.</t>
  </si>
  <si>
    <t>Acción: Reducción de la deforestación.</t>
  </si>
  <si>
    <t xml:space="preserve">Acción: Uso de instrumentos económicos y la valoración de la biodiversidad. </t>
  </si>
  <si>
    <t>Acción: Reducción de consumo y post-consumo.</t>
  </si>
  <si>
    <t>Acción: Manejo integrado de la contaminación, con énfasis en reconversión a tecnologías más limpias.</t>
  </si>
  <si>
    <t>Acción: Política Nacional de Cambio Climático.</t>
  </si>
  <si>
    <t>FUNCIONAMIENTO</t>
  </si>
  <si>
    <t>Actualización bianual del INGEI.</t>
  </si>
  <si>
    <t>Informe publicado.</t>
  </si>
  <si>
    <t>Suministrar información para la consolidación de las cuentas nacionales (SIA).</t>
  </si>
  <si>
    <t>Inventario actualizado a 2012.</t>
  </si>
  <si>
    <t>Tercera Comunicación Nacional de Cambio Climático.</t>
  </si>
  <si>
    <t>Estrategia 4: Consolidar un marco de política de cambio climático buscando su integración con la planificación ambiental, territorial y sectorial.</t>
  </si>
  <si>
    <t>OBJETIVOS INSTITUCIONALES</t>
  </si>
  <si>
    <t>PRODUCTOS PROYECTO: FORTALECIMIENTO DE LA GESTIÓN DEL CONOCIMIENTO HIDROLÓGICO, METEOROLÓGICO, CLIMÁTICO Y AMBIENTAL</t>
  </si>
  <si>
    <t>SUBDIRECCIÓN DE ESTUDIOS AMBIENTALES</t>
  </si>
  <si>
    <t>Publicaciones periódicas: Informe del estado del ambiente y de los recursos naturales, calidad del aire, RESPEL.</t>
  </si>
  <si>
    <t>ACTIVIDAD CUATRIENIO</t>
  </si>
  <si>
    <t>INDICADOR</t>
  </si>
  <si>
    <t>TOTAL</t>
  </si>
  <si>
    <t xml:space="preserve">Formular la Política  de Cambio Climático e instrumentos sectoriales y regionales de implementación </t>
  </si>
  <si>
    <t>Lineamientos - Protocolos - Orientaciones Sectoriales y Regionales para la formulación de  planes de adaptación y mitigación de impactos potenciales por cambio climático y variabilidad climática y su inclusión dentro de los instrumentos de planificación.</t>
  </si>
  <si>
    <t>Documentos con Lineamientos, Protocolos y orientaciones para la adaptación y mitigación del cambio climático y variabilidad climática en los ámbitos sectorial y regional.</t>
  </si>
  <si>
    <t>Laboratorios acreditados</t>
  </si>
  <si>
    <t>Gestión de la contaminación del aire (registro de emisiones; sistemas de vigilancia y monitoreo; actualizar y desarrollar normas, protocolos e incentivos para la reducción de las emisiones atmosféricas y sus efectos; herramientas de conocimiento del riesgo por contaminación)</t>
  </si>
  <si>
    <t xml:space="preserve">Boletines </t>
  </si>
  <si>
    <t>ESTRATEGIA 2. Ordenamiento integral del territorio para el desarrollo sostenible</t>
  </si>
  <si>
    <t>ACTIVIDADES PLAN NACIONAL DE DESARROLLO RELACIONADAS CON IDEAM</t>
  </si>
  <si>
    <t>INDICADOR INSTITUCIONAL PARA EL CUATRIENIO</t>
  </si>
  <si>
    <t>DEPENDENCIA RESPONSABLE IDEAM</t>
  </si>
  <si>
    <t xml:space="preserve">OBJETIVO 2 PND 2015-2018: Proteger y asegurar el uso sostenible del capital natural y mejorar la calidad y la gobernanza ambiental.
</t>
  </si>
  <si>
    <t>ESTRATEGIA 3. Mejorar la calidad ambiental a partir del fortalecimiento del desempeño ambiental de los sectores productivos, buscando mejorar su competitividad</t>
  </si>
  <si>
    <t xml:space="preserve">Acción: </t>
  </si>
  <si>
    <t>OBJETIVO 2 PND 2015-2018: Proteger y asegurar el uso sostenible del capital natural y mejorar la calidad y la gobernanza ambiental.</t>
  </si>
  <si>
    <t xml:space="preserve">Boletines producidos con estándares y calidad de datos.
</t>
  </si>
  <si>
    <t xml:space="preserve">Laboratorios acreditados y/o Autorizados
</t>
  </si>
  <si>
    <t xml:space="preserve">Documentos entregables producidos
</t>
  </si>
  <si>
    <t>Documentos  de investigación publicados.</t>
  </si>
  <si>
    <t>POA 2016 - PROYECTO DE INVERSIÓN</t>
  </si>
  <si>
    <t>Documentos técnicos para sustentar decisiones sobre ordenamiento del territorio, atendiendo la relación entre degradación de ecosistemas.</t>
  </si>
  <si>
    <t xml:space="preserve">Documentos técnicos para sustentar decisiones sobre uso, aprovechamiento y gestión del medio ambiente y de los recursos naturales renovables. </t>
  </si>
  <si>
    <t>Laboratorios ambientales acreditados y organizaciones autorizadas para realizar medición de emisiones por fuentes móviles.</t>
  </si>
  <si>
    <t>Documentos técnicos para sustentar decisiones sobre ordenamiento y planificación territorial, para mitigar y lograr adaptación ante el cc.</t>
  </si>
  <si>
    <t>Gestion del conocimiento en calidad del aire</t>
  </si>
  <si>
    <t xml:space="preserve">Subsistema de Información de Calidad del Aire, SISAIRE. </t>
  </si>
  <si>
    <t>ACTIVIDAD POA 2016</t>
  </si>
  <si>
    <t>Registros para la recolección de información relacionada con el uso y aprovechamiento de los recursos naturales renovables</t>
  </si>
  <si>
    <t>Formulación e implementación de instrumentos de ordenamiento integral del territorio.</t>
  </si>
  <si>
    <t>* Documento de Análisis y oientaciones para  zonificación por regiones y conflictos ambientales
* Mapas de conflicto de uso de los recursos naturales por región</t>
  </si>
  <si>
    <t>VI. Sostenibilidad ambiental y prevención del riesgo</t>
  </si>
  <si>
    <t>A. Gestión ambiental integrada y compartida</t>
  </si>
  <si>
    <t>Gestión Integral del Recurso Hídrico</t>
  </si>
  <si>
    <t>Mejorar el conocimiento de la oferta y la demanda</t>
  </si>
  <si>
    <t>Estrategia institucional y financiera de la red hidrometeorológica, aprobado por CONPES</t>
  </si>
  <si>
    <t>En materia de gestión integral de residuos peligrosos: (1) se fortalecerá el seguimiento y control por parte de las autoridades ambientales a los diferentes actores involucrados</t>
  </si>
  <si>
    <t>Registro de establecimientos en RUA, RESPEL, PCB, RETC.</t>
  </si>
  <si>
    <t xml:space="preserve">Registros anuales, activos con seguimiento y reportes.
</t>
  </si>
  <si>
    <t xml:space="preserve">Registros para la recolección de información relacionada con el uso y aprovechamiento de los recursos naturales renovables. </t>
  </si>
  <si>
    <t>Desarrollo de una propuesta de contenidos del Informe del Estado del medio ambiente que permita dar una mayor oportunidad en su entrega</t>
  </si>
  <si>
    <t>Propuesta de contenidos elaborada</t>
  </si>
  <si>
    <t>Actividades del Plan de Mejoramiento implementadas</t>
  </si>
  <si>
    <t>Elaboración del informe nacional del estado de avance en la identificación de las existencias de equipos y desechos PCB en el país y el estado de cumplimiento de los compromisos adquiridos en el convenio de Estocolmo sobre las metas de marcado, retiro de uso y eliminación de PCB</t>
  </si>
  <si>
    <t>Procesar y análizar los datos de Generadores de Residuos o Desechos Peligrosos correspondientes al 2014-2015 y apoyar la construcción del informe nacional de Generación y Manejo de Residuos o Desechos Peligrosos – RESPEL (2013-2014-2015)</t>
  </si>
  <si>
    <t>Procesar los datos de calidad del aire y meteorológicos producidos por los Sistemas de Vigilancia de Calidad del Aire operados por las Autoridades Ambientales correspondientes al 2015 y realizar informe con los análisis y cruces de información requeridos por la Subdirección de Estudios Ambientales</t>
  </si>
  <si>
    <t xml:space="preserve">Registrar establecimientos en RUA, RESPEL, PCB, RETC, atender solicitudes y fortalecer los registros en el marco del SIAC
</t>
  </si>
  <si>
    <t>Pruebas de laboratorio adelantadas</t>
  </si>
  <si>
    <t>Desarrollo de la segunda fase del plan de mejoramiento de las operaciones estadísticas,  Registro de Generación y Manejo de Residuos o Desechos Peligrosos – RESPEL y del Subsistema de Información sobre la calidad del Aire – SISAIRE; se consolidarán las versiones finales del conjunto de documentos de metodología general desarrollados en la primera fase, asi mismo el desarrollo de las acciones y productos señalados segun cronograma del plan de mejoramiento (4 actividades AIRE y 8 actividades RESPEL)</t>
  </si>
  <si>
    <t>Informes elaborados</t>
  </si>
  <si>
    <t>Documentos elaborados</t>
  </si>
  <si>
    <t>Registros anuales, activos con seguimiento y reportes.</t>
  </si>
  <si>
    <t xml:space="preserve">Generar informacón relevante para el conocimiento del cambio climático en colombia </t>
  </si>
  <si>
    <t>Documentoos generados</t>
  </si>
  <si>
    <t>Planes de adaptacion y mitigacion  para el cambio climàtico en las regiones</t>
  </si>
  <si>
    <t>Estrategia 3: Mejorar la calidad ambiental a partir del fortalecimiento del desempeño ambiental de los sectores productivos, buscando mejorar su competitividad.</t>
  </si>
  <si>
    <t>Acción: Gestión integral del recurso hídrico.</t>
  </si>
  <si>
    <t>Elaborar las Evaluaciones Regionales del Agua (ERA).</t>
  </si>
  <si>
    <t>Estudio Nacional del agua 2018.</t>
  </si>
  <si>
    <t>Documento elaborado y publicado.</t>
  </si>
  <si>
    <t>Subdirección de Hidrología</t>
  </si>
  <si>
    <t>Efectuar monitoreo y seguimiento a las condiciones hidrometeorológicas y ambientales del País.</t>
  </si>
  <si>
    <t>Elaboración de la  metodología de identificación y delimitación de zonas de recarga de sistemas acuíferos en el marco del Programa Nacional de Aguas Subterráneas</t>
  </si>
  <si>
    <t>Documento elaborado</t>
  </si>
  <si>
    <t xml:space="preserve">Escenarios hidrológicos relacionados con variables de: oferta, demanda, calidad, sedimentos y riesgo hidrológico. </t>
  </si>
  <si>
    <t>Caracterización de la dinamica de sedimentos en diez subzonas hidrográficas.</t>
  </si>
  <si>
    <t>Fortalecer los sistemas de información ambiental a cargo del IDEAM.</t>
  </si>
  <si>
    <t>Desarrollo de Modelo Hidrosedimentológico para una Subzona de la Orinoquia</t>
  </si>
  <si>
    <t>Implementar el Programa Nacional de Monitoreo del Recurso Hídrico.</t>
  </si>
  <si>
    <t>Información hidrológica actualizada en variables de nivel, caudal, sedimentos y calidad del agua y protocolo del agua.</t>
  </si>
  <si>
    <t>Estadísticas actualizadas año a año de variables hidrológicas de cantidad y calidad.</t>
  </si>
  <si>
    <t xml:space="preserve">Actualización y Control de calidad del dato hidrológico en el Banco de Datos (IDEAM - BOGOTA) </t>
  </si>
  <si>
    <t>Reporte elaborado</t>
  </si>
  <si>
    <t>Datos climáticos e hidrometeorológicos.</t>
  </si>
  <si>
    <t>Protocolo del agua publicado.</t>
  </si>
  <si>
    <t>Consolidar información de la red y el programa  nacional de aguas subterraneas.</t>
  </si>
  <si>
    <t>Reporte anual elaborado.</t>
  </si>
  <si>
    <t>Inventario de puntos de agua subterránea para la Orinoquia</t>
  </si>
  <si>
    <t>Consolidación de resultados de monitoreo y fortalecimiento de la Red Básica Nacional e Isotópica de Aguas Subterráneas.</t>
  </si>
  <si>
    <t>Acreditación del laboratorio de calidad ambiental.</t>
  </si>
  <si>
    <t>Documento con avances en  proceso de acreditación.</t>
  </si>
  <si>
    <t>Plan estrategico del Laboratorio de Calidad Ambiental</t>
  </si>
  <si>
    <t>Información generada a partir del seguimiento y monitoreo a la calidad del agua.</t>
  </si>
  <si>
    <t>Reporte consolidado de información validada de la red de monitoreo e indicadores de Calidad del Agua</t>
  </si>
  <si>
    <t>Monitoreo nacional de la calidad del agua.</t>
  </si>
  <si>
    <t>Documento con análisis fisicoquímicos y bioindicación de calidad del agua del IDEAM.</t>
  </si>
  <si>
    <t>Consolidar información de la red de monitoreo de calidad del agua.</t>
  </si>
  <si>
    <t>Reporte anual consolidado.</t>
  </si>
  <si>
    <t xml:space="preserve">Fortalecer y poner en marcha el Centro Nacional de Modelación Hidrometeorológica. </t>
  </si>
  <si>
    <t>Mapas de crecientes subitas en dos departamentos.</t>
  </si>
  <si>
    <t>Mapas  elaborados y divulgados.</t>
  </si>
  <si>
    <t>Integración de herramientas hidrológicas para pronósticos y alertas por inundación en el bajo Magdalena</t>
  </si>
  <si>
    <t xml:space="preserve">Mapas  elaborados </t>
  </si>
  <si>
    <t>Insumos técnicos para modelación hidrometeorológica.</t>
  </si>
  <si>
    <t>Documento con insumos técnicos desarrollados para modelación.</t>
  </si>
  <si>
    <t>Componente hidrológico del sistema de alertas tempranas del IDEAM fortalecido.</t>
  </si>
  <si>
    <t>Modelos integrados FEWS.</t>
  </si>
  <si>
    <t>Modelos Integrados FEWS</t>
  </si>
  <si>
    <t xml:space="preserve">Mapas de amenaza por inundación </t>
  </si>
  <si>
    <t>Implemnetación del plan estratégico del centro nacional de modelación.</t>
  </si>
  <si>
    <t>Reporte anual de actividades del centro nacional de modelación.</t>
  </si>
  <si>
    <t>Formulación  del plan estratégico del Centro Nacional de Modelación e Insumos técnicos para modelación hidrometeorológica.</t>
  </si>
  <si>
    <t>Estrategia 5: Fortalecimiento institucional y gobernanza, para optimizar el desempeño del SINA, la educación e investigación y la generación de información y conocimiento ambiental.</t>
  </si>
  <si>
    <t>Acción: Generación de información y conocimiento en materia ambiental.</t>
  </si>
  <si>
    <t>Consolidar el Sistema de Información Ambiental (SIAC) desarrollando un geo-portal, un sistema de consulta de bases de datos y el programa nacional de monitoreo ambiental direccionado por el MADS y coordinado por los institutos de investigación del SINA.</t>
  </si>
  <si>
    <t>Nodos regionales del SIRH implementados.</t>
  </si>
  <si>
    <t>Nodos regionales del SIRH operando.</t>
  </si>
  <si>
    <t>Ajuste de contenidos temáticos y fortalecimiento de nodos regionales y fortalecimiento de capacidades del SIRH</t>
  </si>
  <si>
    <t xml:space="preserve">Aplicativos para el almacenamiento, reporte y visualización de la información hidrológica de oferta, demanda, calidad y riesgos. </t>
  </si>
  <si>
    <t>Capacitaciones para el fortalecimiento de las capacidades regionales para la gestión de información asociada al agua.</t>
  </si>
  <si>
    <t>Capacitaciones realizadas y evaluadas.</t>
  </si>
  <si>
    <t>Numero de talleres y actividades de capacitación realizados</t>
  </si>
  <si>
    <t xml:space="preserve">Eventos sobre temáticas hidrológicas, meteorológicas, ambientales y climáticas y demás estrategias que fortalecen la transmisión de conocimiento. </t>
  </si>
  <si>
    <t>Formular una agenda de investigación ambiental integrada al Sistema de Ciencia, Tecnología e Innovación, bajo el liderazgo de los institutos de investigación.</t>
  </si>
  <si>
    <t>Plan de investigación del IDEAM formulado e implementado.</t>
  </si>
  <si>
    <t>Plan de investigación implementado.</t>
  </si>
  <si>
    <t>Robustecer la capacidad, administrativa y financiera del Instituto para el cumplimiento efectivo de los objetivos previstos en la norma.</t>
  </si>
  <si>
    <t>Instituto articulado con instancias interinstitucionales e internacionales en la temática de gestión de información.</t>
  </si>
  <si>
    <t>SUBDIRECCIÓN DE HIDROLOGÍA</t>
  </si>
  <si>
    <t>Objetivo 1: Avanzar hacia un crecimiento sostenible y bajo en carbono.</t>
  </si>
  <si>
    <t>Estrategia 1: Impulsar la transformación de sectores hacia sendas más eficientes y de bajo carbono.</t>
  </si>
  <si>
    <t>Acción: Producción agropecuaria en áreas de vocación, ganadería intensiva con sistemas silvopastoriles y uso eficiente del agua.</t>
  </si>
  <si>
    <t>Generar información climática para la planificación eficiente en el sector agropecuario.</t>
  </si>
  <si>
    <t>Servicios climáticos  a los diferentes sectores productivos (hidrocarburos, minería, vivienda, transporte, agropecuario) y  consolidar  información especializada por sector.</t>
  </si>
  <si>
    <t>Boletines producidos con estándares y calidad de datos.</t>
  </si>
  <si>
    <t>Subdirección de Meteorología</t>
  </si>
  <si>
    <t xml:space="preserve">Prestar servicios climáticos  a los diferentes sectores productivos (hidrocarburos, minería, vivienda, transporte, agropecuario) y  consolidar  información especializada por sector. </t>
  </si>
  <si>
    <t xml:space="preserve"> Boletines agrometeorológicos (12) y climáticos (12).</t>
  </si>
  <si>
    <t xml:space="preserve">Modelos de predicciones mensuales estacionales estadísticas con reducción de incertidumbre a nivel local. </t>
  </si>
  <si>
    <t>Efecto de la variabilidad climática en los  cambios de los regimenes de precipitación</t>
  </si>
  <si>
    <t xml:space="preserve">Documento de análisis producido.
</t>
  </si>
  <si>
    <t>Elaborar el  estudio de la alteración de la precipitación bajo diferentes indicadores de variabilidad climática propuestos por la NOAA</t>
  </si>
  <si>
    <t xml:space="preserve">Informe sobre Estructura de   los indicadores y las bases de datos en el contexto.
</t>
  </si>
  <si>
    <t>Acción: Gestión de la información y el conocimiento en cambio climático.</t>
  </si>
  <si>
    <t xml:space="preserve">RECURSOS INVERSIÓN </t>
  </si>
  <si>
    <t>Fortalecer  la modelación del tiempo para el análisis de sus implicaciones en las alertas hidrometeorológicas.</t>
  </si>
  <si>
    <t>Modelos de pronóstico del tiempo en alta resolución operando a 15 Km.</t>
  </si>
  <si>
    <t xml:space="preserve">Modelos alta resolución operando a 15 Km.
</t>
  </si>
  <si>
    <t>Generar modelos de pronóstico del tiempo en alta resolución operando a 15 Km.</t>
  </si>
  <si>
    <t xml:space="preserve">Modelos de pronóstico diario del estado del tiempo en alta resolución espacial. </t>
  </si>
  <si>
    <t>Aeropuertos con Reportes  entregados a OACI y OMM de meteorología a la aeronavegación  a nivel nacional e internacional.</t>
  </si>
  <si>
    <t>Aeropuertos con reportes entregados  con estándares y calidad de datos</t>
  </si>
  <si>
    <t>Prestar servicios de meteorología a la aeronavegación  a nivel nacional e internacional.</t>
  </si>
  <si>
    <t>Fortalecer la modelación del clima para el análisis de sus implicaciones a nivel sectorial.</t>
  </si>
  <si>
    <t>Modelos de predicción del clima en alta resolución operando a 10 Km.</t>
  </si>
  <si>
    <t xml:space="preserve">Modelos  en alta resolución operando a 10 Km..
</t>
  </si>
  <si>
    <t xml:space="preserve">Modelo en alta resolución operando a 10 Km.
</t>
  </si>
  <si>
    <t xml:space="preserve">Modelos de predicciones mensuales estacionales dinámicas en alta resolución espacial. </t>
  </si>
  <si>
    <t>Manual de usuario para clúster.</t>
  </si>
  <si>
    <t>Manual elaborado, probado y disponible.</t>
  </si>
  <si>
    <t>Objetivo 3 PND 2015-2018: Lograr un crecimiento resiliente y reducir la vulnerabilidad frente a los riesgos de desastres y al cambio climático.</t>
  </si>
  <si>
    <t>Estrategia 2: Fortalecer la planificación del desarrollo con criterios de adaptación al cambio climático.</t>
  </si>
  <si>
    <t>Acción: Gestión del conocimiento respecto al proceso de cambio climático y sus impactos.</t>
  </si>
  <si>
    <t xml:space="preserve">Construir escenarios de cambio climático nacional y regional.
</t>
  </si>
  <si>
    <t>Generar escenarios nacionales y regionales de cambio climático.</t>
  </si>
  <si>
    <t xml:space="preserve">Número de escenarios de cambio climático generados.
</t>
  </si>
  <si>
    <t xml:space="preserve">Nota Tecnica sobre evidencias de cambio climático
</t>
  </si>
  <si>
    <t>Evidencias de cambio climático</t>
  </si>
  <si>
    <t xml:space="preserve">Documento de investigación elaborado.
</t>
  </si>
  <si>
    <t>Análisis de eventos extremos</t>
  </si>
  <si>
    <t xml:space="preserve">Estructura de los datos para los algoritmos de eventos extremos.
</t>
  </si>
  <si>
    <t>Estudio sobre la sequia en Colombia</t>
  </si>
  <si>
    <t>Nota Tecnica  sobre la sequia en Colombia</t>
  </si>
  <si>
    <t>Grupo de Operación de Redes Ambientales</t>
  </si>
  <si>
    <t>Estaciones con control de calidad y con informacion de precipitacion las 24 horas</t>
  </si>
  <si>
    <t>Datos diarios de precipitación y temperaturas para el periodo 1974-2014</t>
  </si>
  <si>
    <t xml:space="preserve">Realizar los Estudios de Variabilidad climática en el contexto de cambio climático </t>
  </si>
  <si>
    <t>Escenarios de cambio climático</t>
  </si>
  <si>
    <t>Actualizar variables metereologicas del banco de datos.</t>
  </si>
  <si>
    <t xml:space="preserve">Estrategia 1: Fortalecer los procesos de la gestión del riesgo: conocimiento, reducción y manejo.  </t>
  </si>
  <si>
    <t>Fortalecer el sistema de monitoreo y de alertas tempranas.</t>
  </si>
  <si>
    <t>Datos hidrometeorológicos capturados, procesados y validados.</t>
  </si>
  <si>
    <t>Estaciones actualizadas tecnológicamente.</t>
  </si>
  <si>
    <t>Actualizar tecnológicamente la red de estaciones hidrometeorológicas del Instituto.</t>
  </si>
  <si>
    <t>Estaciones actualizadas.</t>
  </si>
  <si>
    <t xml:space="preserve">Estaciones hidrometeorológicas. </t>
  </si>
  <si>
    <t>Actualizar el banco de datos hidrometeorológicos.</t>
  </si>
  <si>
    <t>Meses de datos procesados</t>
  </si>
  <si>
    <t>Estaciones sinópticas automatizadas.</t>
  </si>
  <si>
    <t>Actualizar tecnológicamente  estaciones sinópticas en aeropuertos del País.</t>
  </si>
  <si>
    <t xml:space="preserve">Estaciones sinópticas actualizadas. </t>
  </si>
  <si>
    <t>Estaciones meteorológicas reubicadas.</t>
  </si>
  <si>
    <t xml:space="preserve">Reubicar estaciones meteorológicas. </t>
  </si>
  <si>
    <t>Laboratorio de calibración implementado.</t>
  </si>
  <si>
    <t>Implementar las acciones establecidas en el diagnóstico entregado en el 2014 por el Instituto Nacional de Metrología.</t>
  </si>
  <si>
    <t>Acciones implementadas</t>
  </si>
  <si>
    <t>Plan Estrategico Red Hidrologica, Meteorologica y Ambiental  del IDEAM</t>
  </si>
  <si>
    <t>Elaborar el Plan Estratégico de la Red Hidrológica, Meteorológica y Ambiental del IDEAM</t>
  </si>
  <si>
    <t>Documento elaborado.</t>
  </si>
  <si>
    <t>Productos temáticos generados.</t>
  </si>
  <si>
    <t>* Fortalecer la gobernanza forestal y la capacidad para administrar Zonas de Reserva Forestal en el país.
* Implementar la Estrategia Nacional de Reducción de Emisiones por Deforestación y Degradación (REDD).
* Consolidar el sistema de monitoreo de bosques y carbono.
* Avanzar en la implementación de la Visión Amazonía.</t>
  </si>
  <si>
    <t>Mapa nacional de cobertura boscosa, mapa de cambio de la cobertura boscosa, alertas nacionales de deforestación.</t>
  </si>
  <si>
    <t>Mapas elaborados y divulgados.</t>
  </si>
  <si>
    <t>Subdirección de Ecosistemas e Información Ambiental</t>
  </si>
  <si>
    <t>Fortalecer el programa de seguimiento y monitoreo de bosques</t>
  </si>
  <si>
    <t>Monitoreo y seguimiento del estado de los suelos y las tierras.</t>
  </si>
  <si>
    <t>* Fortalecer la gobernanza forestal y la . capacidad para administrar Zonas de Reserva Forestal en el país.
* Implementar la Estrategia Nacional de Reducción de Emisiones por Deforestación y Degradación (REDD).
* Implementar el Inventario Forestal Nacional.
* Avanzar en la implementación de la Visión Amazonía.</t>
  </si>
  <si>
    <t>Inventario Forestal Nacional implementado gradualmente.</t>
  </si>
  <si>
    <t xml:space="preserve">Implementación  gradual del Inventario Forestal Nacional.
</t>
  </si>
  <si>
    <t>Porcentaje de implementación del IFN</t>
  </si>
  <si>
    <t>Consolidar el programa de monitoreo y seguimiento de los suelos y las tierras.</t>
  </si>
  <si>
    <t>Línea base de degradación de suelos</t>
  </si>
  <si>
    <t xml:space="preserve">Línea base de degradación de suelos elaborada.  </t>
  </si>
  <si>
    <t>Fortalecer el programa de seguimiento y monitoreo de los suelos y las tierras</t>
  </si>
  <si>
    <t>Actualización de información y programa para pronostico de amenaza por deslizamientos</t>
  </si>
  <si>
    <t>Programa elaborado para pronostico de amenaza por deslizamientos.</t>
  </si>
  <si>
    <t>Estrategia 2: Ordenamiento integral del territorio para el desarrollo sostenible.</t>
  </si>
  <si>
    <t>Acción: Unificación de lineamientos para el ordenamiento integral del territorio.</t>
  </si>
  <si>
    <t xml:space="preserve">Programa de monitoreo de los ecosistemas del país
</t>
  </si>
  <si>
    <t xml:space="preserve">Programa de seguimiento, monitoreo y evaluación de los ecosistemas continentales,  y sus servicios ecosistémicos.
</t>
  </si>
  <si>
    <t>Productos temáticos generados como insumo para consolidar el programa de monitoreo de ecosistemas</t>
  </si>
  <si>
    <t>Fortalecer el seguimiento y monitoreo de los ecosistemas y sus servicios ecosistémicos</t>
  </si>
  <si>
    <t>Sistema de monitoreo, seguimiento y evaluación de los ecosistemas y servicios ecosistémicos  de Colombia.</t>
  </si>
  <si>
    <t xml:space="preserve">documento y un nuevo desarrollo: producto asiociado al  cubo de datos.(2).  Waves hoja de ruta pedir a claudia </t>
  </si>
  <si>
    <t>SIAC fortalecido y permitiendo el acceso y uso de la información ambiental generada por el SINA para los procesos de toma de decisiones.</t>
  </si>
  <si>
    <t xml:space="preserve">Productos temáticos generados de SIAC.
</t>
  </si>
  <si>
    <t>Fortalecer el SIAC y el SIA del Ideam</t>
  </si>
  <si>
    <t xml:space="preserve">Sistema de Información Ambiental consolidado. </t>
  </si>
  <si>
    <t xml:space="preserve">Subsistemas interoperando en el marco de SIAC.
</t>
  </si>
  <si>
    <t>Servicios  de información diseñados.</t>
  </si>
  <si>
    <t>Pronósticos del tiempo y productos desarrollados a partir del modelo del centro europeo.</t>
  </si>
  <si>
    <t xml:space="preserve">Pronósticos elaborados. 
</t>
  </si>
  <si>
    <t>Seguimiento a las condiciones meteorológicas extremas dadas por la probable ocurrencia de tormentas eléctricas.</t>
  </si>
  <si>
    <t xml:space="preserve">Boletines elaborados en los que se incluye información sobre descargas eléctricas.
</t>
  </si>
  <si>
    <t>Integrar al SNIGRD la información necesaria y adecuada para la toma de decisiones, con el fin de facilitar su acceso por parte de los sectores y territorios para avanzar en el conocimiento del riesgo, principalmente con fines de ordenamiento.</t>
  </si>
  <si>
    <t>Pronósticos y alertas hidrometeorológicas de manera continua (24 horas al día) y asesoramiento a entidades del SINA y del SNGRD.</t>
  </si>
  <si>
    <t>Boletines elaborados con estándares y calidad de datos.</t>
  </si>
  <si>
    <t>Entidades asesoradas del SINA y SNGRD.</t>
  </si>
  <si>
    <t>Pronósticos especializados a sectores productivos.</t>
  </si>
  <si>
    <t>Boletines elaborados de pronósticos emitidos a sectores especializados.</t>
  </si>
  <si>
    <t>Oficina del Servicio de Pronósticos y Alertas</t>
  </si>
  <si>
    <t>Generar pronósticos y alertas hidrometeorológicas de manera continua (24 horas al día) y asesorar entidades del SINA y del SNGRD.</t>
  </si>
  <si>
    <t>Generar pronósticos especializados a sectores productivos.</t>
  </si>
  <si>
    <t>Pronósticos elaborados.</t>
  </si>
  <si>
    <t>Boletines con información sobre descargas eléctricas.</t>
  </si>
  <si>
    <t>Boletines elaborados.</t>
  </si>
  <si>
    <t>Boletines de pronósticos emitidos a sectores especializados</t>
  </si>
  <si>
    <t>Radares banda X.</t>
  </si>
  <si>
    <t xml:space="preserve">Centros regionales de pronóstico. </t>
  </si>
  <si>
    <t>OFICINA DEL SERVICIO DE PRONÓSTICOS Y ALERTAS</t>
  </si>
  <si>
    <t>Fortalecer las capacidades de los institutos de investigación del SINA para aportar en el proceso de toma de decisiones.</t>
  </si>
  <si>
    <t>Herramientas informáticas para las áreas misionales (SIA) implementadas y en operación.</t>
  </si>
  <si>
    <t xml:space="preserve">Aplicativos probados e implementados.
</t>
  </si>
  <si>
    <t>Herramientas informáticas para la gestión de apoyo implementadas y en operación.</t>
  </si>
  <si>
    <t>Plataforma tecnológica disponible.</t>
  </si>
  <si>
    <t>Disponibilidad igual o mayor al 99%.</t>
  </si>
  <si>
    <t>Sistema de Gestión de Seguridad de la Información implementado con base en la Estrategia de Gobierno en Línea.</t>
  </si>
  <si>
    <t>Porcentaje de implementación del SGSI.</t>
  </si>
  <si>
    <t>Cumplimiento de Planes TIC para la gestión y Gobierno en Línea.</t>
  </si>
  <si>
    <t>Porcentaje de implementación del Manual GEL.</t>
  </si>
  <si>
    <t>Oficina de Informática</t>
  </si>
  <si>
    <t>Construir y/o mantener herramientas informáticas del Sistema de Información Ambiental.</t>
  </si>
  <si>
    <t>Construir y/o mantener herramientas informáticas de apoyo del IDEAM.</t>
  </si>
  <si>
    <t>Garantizar la disponibilidad de la infraestructura tecnológica de la Entidad.</t>
  </si>
  <si>
    <t>Actualizar e implementar el Sistema de Gestión de Seguridad de la Información.</t>
  </si>
  <si>
    <t>Implementar los planes gubernamentales para las TIC.</t>
  </si>
  <si>
    <t>Porcentaje de cumplimiento de implementación del manual GEL.</t>
  </si>
  <si>
    <t>Capacidad técnica y tecnológica para la recepción, almacenamiento, transformación y publicación de los datos recibidos de las estaciones.</t>
  </si>
  <si>
    <t>OFICINA DE INFORMÁTICA</t>
  </si>
  <si>
    <t xml:space="preserve">Asegurar la sostenibilidad del Sistema de Gestión  Integral de la Entidad. </t>
  </si>
  <si>
    <t>Informe de auditoria al SGI (seguimiento).</t>
  </si>
  <si>
    <t>Oficina Asesora de Planeación</t>
  </si>
  <si>
    <t>Asegurar la sostenibilidad del Sistema de Gestión Integral de la Entidad.</t>
  </si>
  <si>
    <t xml:space="preserve">Sistemas de gestión de calidad. </t>
  </si>
  <si>
    <t>Informe de auditoria al SGI (recertificación).</t>
  </si>
  <si>
    <t>DEPENDENCIA</t>
  </si>
  <si>
    <t>TOTAL INVERSIÓN</t>
  </si>
  <si>
    <t>Subdirección de Ecosistemas</t>
  </si>
  <si>
    <t>Grupo Operación de Redes</t>
  </si>
  <si>
    <t>Oficina de Pronósticos</t>
  </si>
  <si>
    <t>Secretaría General</t>
  </si>
  <si>
    <t>ASIGNACIÓN INVERSIÓN</t>
  </si>
  <si>
    <t>DIFERENCIAS</t>
  </si>
  <si>
    <t>SUBDIRECCION DE ECOSISTEMAS</t>
  </si>
  <si>
    <t>SUBDIRECCIÓN DE METEOROLOGÍA</t>
  </si>
  <si>
    <t>Fortalecer las capacdades de los Institutos de investigación del SINA para aportar en el proceso de toma de decisiones.</t>
  </si>
  <si>
    <t>Instituto fortalecido en su infraestructura física.</t>
  </si>
  <si>
    <t>Formular el Plan de Infraestructura.</t>
  </si>
  <si>
    <t>Sedes adecuadas a infraestructura.</t>
  </si>
  <si>
    <t>Información entregada a usuarios internos y externos para contribuir a la mitigación del riesgo.</t>
  </si>
  <si>
    <t>Plan Institucional de Posicionamiento.</t>
  </si>
  <si>
    <t>Videos de pronóstico diario del tiempo producidos.</t>
  </si>
  <si>
    <t>Eventos de rendición de cuentas realizados.</t>
  </si>
  <si>
    <t>Personal capacitado y comprometido con el cumplimiento de la misión institucional.</t>
  </si>
  <si>
    <t xml:space="preserve">Formular el Plan Estratégico de Recursos Humanos: que contenga políticas   y parámetros de operación para el diseño del PIC, Plan de Bienestar e Incentivos, Evaluación de Desempeño.
</t>
  </si>
  <si>
    <t>% cumplimiento del Plan Institucional de Capacitación, PIC.</t>
  </si>
  <si>
    <t xml:space="preserve">Recurso humano capacitado. </t>
  </si>
  <si>
    <t xml:space="preserve">% cumplimiento del Programa de Bienestar Social.
</t>
  </si>
  <si>
    <t>% cumplimiento del Programa de Estímulos e Incentivos.</t>
  </si>
  <si>
    <t>Ejecución del Plan Estratégico</t>
  </si>
  <si>
    <t xml:space="preserve">Actualización Estudio Técnico -Fortalecimiento Institucional
</t>
  </si>
  <si>
    <t>IDEAM dotado de los bienes y servicios necesarios para que los usuarios accedan a la información que genera la Entidad.</t>
  </si>
  <si>
    <t xml:space="preserve"> Identficación de necesidades a nivel institucional</t>
  </si>
  <si>
    <t>Laboratorio construido</t>
  </si>
  <si>
    <t>SECRETARÍA GENERAL</t>
  </si>
  <si>
    <t>FUNCIONAMIENTO POA</t>
  </si>
  <si>
    <t>FUNCIONAMIENTO DESAGREGACIÓN ANEXO RESOLUCIÓN DE INCORPORACIÓN</t>
  </si>
  <si>
    <t>Servicios personales indirectos más gastos generales</t>
  </si>
  <si>
    <t>Servicios personales asociados a la nómina</t>
  </si>
  <si>
    <t>Total funcionamiento 2015</t>
  </si>
  <si>
    <t>Construcción Laboratorio Calidad Ambiental - Bogotá</t>
  </si>
  <si>
    <t>TOTAL FUNCIONAMIENTO</t>
  </si>
  <si>
    <t xml:space="preserve">TOTAL INVERSIÓN </t>
  </si>
  <si>
    <t>TOTAL PRESUPUESTO 2016</t>
  </si>
  <si>
    <t>GRUPO OPERACIÓN DE REDES</t>
  </si>
  <si>
    <t xml:space="preserve"> Capas oficializadas y dispuestas en los diferentes medios de acceso</t>
  </si>
  <si>
    <t>DECRETO 2550 DIC.30 DE 2015</t>
  </si>
  <si>
    <t>APORTE NACIÓN</t>
  </si>
  <si>
    <t>APORTES NACIÓN 11</t>
  </si>
  <si>
    <t>APORTES NACIÓN 13</t>
  </si>
  <si>
    <t xml:space="preserve"> Laboratorios acreditados y/o organizaciones autorizadas
</t>
  </si>
  <si>
    <t>Brindar soporte técnico, jurídico, administrativo y financiero al proyecto de inversión del IDEAM</t>
  </si>
  <si>
    <t>Soporte técnico, jurídicos, administrativo y financiero operando en el proyecto de inversión.</t>
  </si>
  <si>
    <t>Efectiva gestión del proyecto</t>
  </si>
  <si>
    <t>Promover el desarrollo del Talento Humano para el mejorar y fortalecer su desempeño. Ejecución plan estratégico</t>
  </si>
  <si>
    <t>Acreditar laboratorios ambientales y autorizar organizaciones, desarrollar un sistema de información para acreditación y adelantar evaluación en las pruebas de desempeño para los laboratorios.</t>
  </si>
  <si>
    <t>Informe monitoreo de medios de comunicación del IDEAM elaborado</t>
  </si>
  <si>
    <t>Oferta, Hidrodinámica, dinámica de sedimentación, demanda, calidad del agua y riesgos asociados al agua caracterizados en dos áreas hidrográficas.</t>
  </si>
  <si>
    <t xml:space="preserve">Documentos con avances y productos  temáticos en áreas hidrográficas seleccionadas.
</t>
  </si>
  <si>
    <t>Cuota de auditaje contranal (D.G.)</t>
  </si>
  <si>
    <t>Instituto interamericano para la investigacion del cambio global -iai-contribucion voluntaria (ley 304/96)(D.G)</t>
  </si>
  <si>
    <t>Sentencias (D:G)</t>
  </si>
  <si>
    <t>Bloqueado</t>
  </si>
  <si>
    <t>Realizar actividades para fortalecer  el  grupo de investigación del Ideam reconocido por colciencias y desarrollar actividades para mejorar la investigación, del instituto de hidrología, meteorología y estudios ambientales Ideam</t>
  </si>
  <si>
    <t>Aplicativos probados e implementados</t>
  </si>
  <si>
    <t>Gestión para la implementación de radar meteorológico para el monitoreo y seguimiento de las lluvias en tiempo real.</t>
  </si>
  <si>
    <t>Informes de gestión adelantados</t>
  </si>
  <si>
    <t xml:space="preserve">Entidades asesoradas </t>
  </si>
  <si>
    <t>Documento preliminar con identificación de conflcitos de uso en la región de la Orinoquía.</t>
  </si>
  <si>
    <t>Documentos con elemenos de análisis para planear la implementación de un sistema de alertas tempranas de calidad de agua</t>
  </si>
  <si>
    <t xml:space="preserve">Documento elaborado </t>
  </si>
  <si>
    <t>Adquirir equipos multimedia para difusión contenidos digitales  comunicación interna y externa.</t>
  </si>
  <si>
    <t>Adquirir Hardware y Software, para divulgación Grupo de Comunicaciones.</t>
  </si>
  <si>
    <t>Elaborar, publicar y realizar el seguimiento del Plan Anticorrupción y de Atención al Ciudadano.</t>
  </si>
  <si>
    <t>Plan publicado e informe de seguimiento.</t>
  </si>
  <si>
    <t>Informe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</si>
</sst>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#,##0.0"/>
    <numFmt numFmtId="167" formatCode="[$$-240A]\ #,##0"/>
    <numFmt numFmtId="168" formatCode="&quot;$&quot;\ #,##0.00"/>
    <numFmt numFmtId="169" formatCode="_-* #,##0.00\ _€_-;\-* #,##0.00\ _€_-;_-* &quot;-&quot;??\ _€_-;_-@_-"/>
    <numFmt numFmtId="170" formatCode="[$$-240A]\ #,##0.00_);\([$$-240A]\ #,##0.00\)"/>
    <numFmt numFmtId="171" formatCode="_ * #,##0.00_ ;_ * \-#,##0.00_ ;_ * &quot;-&quot;??_ ;_ @_ "/>
    <numFmt numFmtId="172" formatCode="_ &quot;$&quot;\ * #,##0.00_ ;_ &quot;$&quot;\ * \-#,##0.00_ ;_ &quot;$&quot;\ * &quot;-&quot;??_ ;_ @_ "/>
    <numFmt numFmtId="173" formatCode="_-* #,##0.00\ &quot;€&quot;_-;\-* #,##0.00\ &quot;€&quot;_-;_-* &quot;-&quot;??\ &quot;€&quot;_-;_-@_-"/>
    <numFmt numFmtId="174" formatCode="_ * #,##0_ ;_ * \-#,##0_ ;_ * &quot;-&quot;??_ ;_ @_ "/>
    <numFmt numFmtId="175" formatCode="&quot;$&quot;\ #,##0"/>
    <numFmt numFmtId="176" formatCode="[$$-240A]\ #,##0.00"/>
    <numFmt numFmtId="177" formatCode="_(* #,##0_);_(* \(#,##0\);_(* &quot;-&quot;??_);_(@_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20"/>
      <name val="Arial"/>
      <family val="2"/>
    </font>
    <font>
      <sz val="28"/>
      <name val="Arial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9" tint="-0.249977111117893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Calibri"/>
      <family val="2"/>
      <scheme val="minor"/>
    </font>
    <font>
      <sz val="9"/>
      <color rgb="FF000000"/>
      <name val="Arial Narrow"/>
      <family val="2"/>
    </font>
    <font>
      <b/>
      <sz val="9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9" tint="-0.249977111117893"/>
      </left>
      <right/>
      <top style="thin">
        <color theme="0"/>
      </top>
      <bottom/>
      <diagonal/>
    </border>
    <border>
      <left style="thin">
        <color theme="9" tint="-0.249977111117893"/>
      </left>
      <right/>
      <top/>
      <bottom style="thin">
        <color theme="0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6">
    <xf numFmtId="0" fontId="0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07">
    <xf numFmtId="0" fontId="0" fillId="0" borderId="0" xfId="0"/>
    <xf numFmtId="0" fontId="2" fillId="0" borderId="0" xfId="23" applyFont="1" applyProtection="1">
      <protection locked="0"/>
    </xf>
    <xf numFmtId="0" fontId="3" fillId="0" borderId="0" xfId="23" applyFont="1" applyAlignment="1" applyProtection="1">
      <alignment horizontal="left" vertical="center"/>
      <protection locked="0"/>
    </xf>
    <xf numFmtId="0" fontId="3" fillId="0" borderId="0" xfId="23" applyFont="1" applyProtection="1">
      <protection locked="0"/>
    </xf>
    <xf numFmtId="0" fontId="3" fillId="0" borderId="0" xfId="23" applyFont="1" applyFill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vertical="center"/>
      <protection locked="0"/>
    </xf>
    <xf numFmtId="0" fontId="3" fillId="0" borderId="0" xfId="23" applyFont="1" applyAlignment="1" applyProtection="1">
      <alignment horizontal="center" vertical="center"/>
      <protection locked="0"/>
    </xf>
    <xf numFmtId="0" fontId="2" fillId="0" borderId="0" xfId="23" applyFont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horizontal="left" vertical="center"/>
      <protection locked="0"/>
    </xf>
    <xf numFmtId="0" fontId="3" fillId="0" borderId="0" xfId="23" applyFont="1" applyFill="1" applyBorder="1" applyProtection="1">
      <protection locked="0"/>
    </xf>
    <xf numFmtId="0" fontId="4" fillId="0" borderId="0" xfId="23" applyFont="1" applyProtection="1">
      <protection locked="0"/>
    </xf>
    <xf numFmtId="0" fontId="3" fillId="0" borderId="0" xfId="23" applyFont="1" applyAlignment="1" applyProtection="1">
      <alignment vertical="center"/>
      <protection locked="0"/>
    </xf>
    <xf numFmtId="0" fontId="1" fillId="0" borderId="0" xfId="23" applyFont="1" applyFill="1" applyBorder="1" applyAlignment="1" applyProtection="1">
      <alignment vertical="center"/>
      <protection locked="0"/>
    </xf>
    <xf numFmtId="0" fontId="7" fillId="0" borderId="0" xfId="23" applyFont="1" applyAlignment="1" applyProtection="1">
      <alignment horizontal="center" vertical="center"/>
      <protection locked="0"/>
    </xf>
    <xf numFmtId="0" fontId="1" fillId="0" borderId="0" xfId="23" applyFont="1" applyFill="1" applyBorder="1" applyProtection="1">
      <protection locked="0"/>
    </xf>
    <xf numFmtId="0" fontId="1" fillId="0" borderId="0" xfId="23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68" fontId="1" fillId="0" borderId="0" xfId="23" applyNumberFormat="1" applyFont="1" applyFill="1" applyBorder="1" applyAlignment="1" applyProtection="1">
      <alignment vertical="center" wrapText="1"/>
      <protection locked="0"/>
    </xf>
    <xf numFmtId="0" fontId="10" fillId="0" borderId="0" xfId="23" applyFont="1" applyProtection="1">
      <protection locked="0"/>
    </xf>
    <xf numFmtId="0" fontId="9" fillId="0" borderId="0" xfId="23" applyFont="1" applyAlignment="1" applyProtection="1">
      <alignment horizontal="left" vertical="center"/>
      <protection locked="0"/>
    </xf>
    <xf numFmtId="0" fontId="9" fillId="0" borderId="0" xfId="23" applyFont="1" applyProtection="1">
      <protection locked="0"/>
    </xf>
    <xf numFmtId="0" fontId="9" fillId="0" borderId="0" xfId="23" applyFont="1" applyFill="1" applyAlignment="1" applyProtection="1">
      <alignment horizontal="left" vertical="center"/>
      <protection locked="0"/>
    </xf>
    <xf numFmtId="0" fontId="10" fillId="3" borderId="1" xfId="23" applyFont="1" applyFill="1" applyBorder="1" applyAlignment="1" applyProtection="1">
      <alignment horizontal="center" vertical="center" wrapText="1"/>
      <protection locked="0"/>
    </xf>
    <xf numFmtId="0" fontId="10" fillId="2" borderId="1" xfId="23" applyFont="1" applyFill="1" applyBorder="1" applyAlignment="1" applyProtection="1">
      <alignment horizontal="center" vertical="center" wrapText="1"/>
      <protection locked="0"/>
    </xf>
    <xf numFmtId="0" fontId="10" fillId="2" borderId="2" xfId="23" applyFont="1" applyFill="1" applyBorder="1" applyAlignment="1" applyProtection="1">
      <alignment horizontal="center" vertical="center" wrapText="1"/>
      <protection locked="0"/>
    </xf>
    <xf numFmtId="0" fontId="10" fillId="0" borderId="0" xfId="23" applyFont="1" applyFill="1" applyBorder="1" applyAlignment="1" applyProtection="1">
      <alignment horizontal="center" vertical="center" wrapText="1"/>
      <protection locked="0"/>
    </xf>
    <xf numFmtId="0" fontId="9" fillId="0" borderId="0" xfId="23" applyFont="1" applyFill="1" applyProtection="1">
      <protection locked="0"/>
    </xf>
    <xf numFmtId="167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23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3" fillId="0" borderId="10" xfId="23" applyFont="1" applyFill="1" applyBorder="1" applyAlignment="1" applyProtection="1">
      <alignment horizontal="left" vertical="center"/>
      <protection locked="0"/>
    </xf>
    <xf numFmtId="167" fontId="9" fillId="0" borderId="11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67" fontId="9" fillId="0" borderId="3" xfId="0" applyNumberFormat="1" applyFont="1" applyFill="1" applyBorder="1" applyAlignment="1" applyProtection="1">
      <alignment horizontal="justify" vertical="center" wrapText="1"/>
    </xf>
    <xf numFmtId="167" fontId="9" fillId="0" borderId="1" xfId="0" applyNumberFormat="1" applyFont="1" applyFill="1" applyBorder="1" applyAlignment="1" applyProtection="1">
      <alignment horizontal="justify" vertical="center" wrapText="1"/>
    </xf>
    <xf numFmtId="167" fontId="9" fillId="0" borderId="2" xfId="0" applyNumberFormat="1" applyFont="1" applyFill="1" applyBorder="1" applyAlignment="1" applyProtection="1">
      <alignment horizontal="justify" vertical="center" wrapText="1"/>
    </xf>
    <xf numFmtId="170" fontId="3" fillId="0" borderId="0" xfId="23" applyNumberFormat="1" applyFont="1" applyFill="1" applyBorder="1" applyProtection="1">
      <protection locked="0"/>
    </xf>
    <xf numFmtId="164" fontId="1" fillId="0" borderId="0" xfId="23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Fill="1"/>
    <xf numFmtId="0" fontId="31" fillId="0" borderId="0" xfId="23" applyFont="1" applyFill="1" applyAlignment="1" applyProtection="1">
      <alignment horizontal="right" vertical="center"/>
      <protection locked="0"/>
    </xf>
    <xf numFmtId="174" fontId="12" fillId="0" borderId="1" xfId="3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174" fontId="11" fillId="4" borderId="1" xfId="3" applyNumberFormat="1" applyFont="1" applyFill="1" applyBorder="1" applyAlignment="1">
      <alignment horizontal="center" vertical="center" wrapText="1"/>
    </xf>
    <xf numFmtId="0" fontId="11" fillId="4" borderId="1" xfId="0" applyFont="1" applyFill="1" applyBorder="1"/>
    <xf numFmtId="174" fontId="11" fillId="4" borderId="1" xfId="3" applyNumberFormat="1" applyFont="1" applyFill="1" applyBorder="1"/>
    <xf numFmtId="0" fontId="11" fillId="4" borderId="1" xfId="0" applyFont="1" applyFill="1" applyBorder="1" applyAlignment="1">
      <alignment horizontal="justify" vertical="center" wrapText="1"/>
    </xf>
    <xf numFmtId="0" fontId="29" fillId="0" borderId="0" xfId="0" applyFont="1"/>
    <xf numFmtId="0" fontId="10" fillId="0" borderId="12" xfId="23" applyFont="1" applyFill="1" applyBorder="1" applyAlignment="1" applyProtection="1">
      <alignment horizontal="center" vertical="center" wrapText="1"/>
      <protection locked="0"/>
    </xf>
    <xf numFmtId="167" fontId="9" fillId="0" borderId="13" xfId="0" applyNumberFormat="1" applyFont="1" applyFill="1" applyBorder="1" applyAlignment="1" applyProtection="1">
      <alignment horizontal="justify" vertical="center" wrapText="1"/>
    </xf>
    <xf numFmtId="0" fontId="9" fillId="0" borderId="11" xfId="23" applyFont="1" applyBorder="1" applyAlignment="1" applyProtection="1">
      <alignment horizontal="left" vertical="center"/>
      <protection locked="0"/>
    </xf>
    <xf numFmtId="0" fontId="9" fillId="0" borderId="14" xfId="23" applyFont="1" applyBorder="1" applyAlignment="1" applyProtection="1">
      <alignment horizontal="left" vertical="center"/>
      <protection locked="0"/>
    </xf>
    <xf numFmtId="170" fontId="17" fillId="4" borderId="1" xfId="23" applyNumberFormat="1" applyFont="1" applyFill="1" applyBorder="1" applyAlignment="1">
      <alignment horizontal="center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 applyProtection="1">
      <alignment horizontal="justify" vertical="center" wrapText="1"/>
    </xf>
    <xf numFmtId="167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68" fontId="32" fillId="0" borderId="1" xfId="0" applyNumberFormat="1" applyFont="1" applyFill="1" applyBorder="1" applyAlignment="1" applyProtection="1">
      <alignment vertical="center" wrapText="1"/>
      <protection locked="0"/>
    </xf>
    <xf numFmtId="175" fontId="12" fillId="0" borderId="1" xfId="0" applyNumberFormat="1" applyFont="1" applyFill="1" applyBorder="1" applyAlignment="1" applyProtection="1">
      <alignment vertical="center" wrapText="1"/>
      <protection locked="0"/>
    </xf>
    <xf numFmtId="168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9" fontId="12" fillId="0" borderId="1" xfId="23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23" applyFont="1" applyFill="1" applyBorder="1" applyAlignment="1" applyProtection="1">
      <alignment horizontal="left" vertical="center" wrapText="1"/>
    </xf>
    <xf numFmtId="175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7" fontId="12" fillId="0" borderId="1" xfId="0" applyNumberFormat="1" applyFont="1" applyFill="1" applyBorder="1" applyAlignment="1" applyProtection="1">
      <alignment vertical="center" wrapText="1"/>
    </xf>
    <xf numFmtId="175" fontId="32" fillId="0" borderId="1" xfId="0" applyNumberFormat="1" applyFont="1" applyFill="1" applyBorder="1" applyAlignment="1" applyProtection="1">
      <alignment vertical="center" wrapText="1"/>
      <protection locked="0"/>
    </xf>
    <xf numFmtId="0" fontId="33" fillId="0" borderId="1" xfId="0" applyNumberFormat="1" applyFont="1" applyFill="1" applyBorder="1" applyAlignment="1" applyProtection="1">
      <alignment horizontal="justify" vertical="center" wrapText="1"/>
    </xf>
    <xf numFmtId="0" fontId="33" fillId="0" borderId="1" xfId="0" applyFont="1" applyFill="1" applyBorder="1" applyAlignment="1" applyProtection="1">
      <alignment horizontal="justify" vertical="center" wrapText="1"/>
    </xf>
    <xf numFmtId="1" fontId="33" fillId="0" borderId="1" xfId="23" applyNumberFormat="1" applyFont="1" applyFill="1" applyBorder="1" applyAlignment="1" applyProtection="1">
      <alignment horizontal="center" vertical="center" wrapText="1"/>
    </xf>
    <xf numFmtId="168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168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170" fontId="15" fillId="4" borderId="1" xfId="23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9" fillId="0" borderId="1" xfId="23" applyFont="1" applyFill="1" applyBorder="1" applyAlignment="1" applyProtection="1">
      <alignment horizontal="left" vertical="center"/>
      <protection locked="0"/>
    </xf>
    <xf numFmtId="0" fontId="35" fillId="5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horizontal="center" vertical="center"/>
      <protection locked="0"/>
    </xf>
    <xf numFmtId="0" fontId="19" fillId="6" borderId="1" xfId="23" applyFont="1" applyFill="1" applyBorder="1" applyAlignment="1" applyProtection="1">
      <alignment vertical="center" wrapText="1"/>
      <protection locked="0"/>
    </xf>
    <xf numFmtId="166" fontId="19" fillId="6" borderId="1" xfId="23" applyNumberFormat="1" applyFont="1" applyFill="1" applyBorder="1" applyAlignment="1" applyProtection="1">
      <alignment vertical="center" wrapText="1"/>
      <protection locked="0"/>
    </xf>
    <xf numFmtId="0" fontId="19" fillId="0" borderId="1" xfId="23" applyFont="1" applyFill="1" applyBorder="1" applyAlignment="1" applyProtection="1">
      <alignment horizontal="center" vertical="center" wrapText="1"/>
      <protection locked="0"/>
    </xf>
    <xf numFmtId="0" fontId="36" fillId="7" borderId="1" xfId="23" applyFont="1" applyFill="1" applyBorder="1" applyAlignment="1" applyProtection="1">
      <alignment horizontal="center" vertical="center" wrapText="1"/>
      <protection locked="0"/>
    </xf>
    <xf numFmtId="166" fontId="19" fillId="6" borderId="1" xfId="2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7" fontId="20" fillId="0" borderId="1" xfId="0" applyNumberFormat="1" applyFont="1" applyFill="1" applyBorder="1" applyAlignment="1" applyProtection="1">
      <alignment horizontal="justify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168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66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167" fontId="20" fillId="0" borderId="1" xfId="0" applyNumberFormat="1" applyFont="1" applyFill="1" applyBorder="1" applyAlignment="1" applyProtection="1">
      <alignment horizontal="left" vertical="center" wrapText="1"/>
    </xf>
    <xf numFmtId="167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left" vertical="center" wrapText="1"/>
    </xf>
    <xf numFmtId="168" fontId="3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6" fillId="4" borderId="1" xfId="23" applyFont="1" applyFill="1" applyBorder="1" applyAlignment="1" applyProtection="1">
      <alignment horizontal="left" vertical="center"/>
      <protection locked="0"/>
    </xf>
    <xf numFmtId="0" fontId="20" fillId="0" borderId="1" xfId="23" applyFont="1" applyFill="1" applyBorder="1" applyAlignment="1" applyProtection="1">
      <alignment horizontal="center" vertical="center" wrapText="1"/>
    </xf>
    <xf numFmtId="3" fontId="1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</xf>
    <xf numFmtId="0" fontId="20" fillId="0" borderId="1" xfId="0" applyFont="1" applyFill="1" applyBorder="1" applyAlignment="1" applyProtection="1">
      <alignment horizontal="justify" vertical="center" wrapText="1"/>
    </xf>
    <xf numFmtId="164" fontId="19" fillId="0" borderId="1" xfId="0" applyNumberFormat="1" applyFont="1" applyFill="1" applyBorder="1" applyAlignment="1" applyProtection="1">
      <alignment horizontal="justify" vertical="center" wrapText="1"/>
    </xf>
    <xf numFmtId="164" fontId="20" fillId="0" borderId="1" xfId="11" applyFont="1" applyFill="1" applyBorder="1" applyAlignment="1" applyProtection="1">
      <alignment horizontal="justify" vertical="center" wrapText="1"/>
    </xf>
    <xf numFmtId="168" fontId="20" fillId="0" borderId="1" xfId="0" applyNumberFormat="1" applyFont="1" applyFill="1" applyBorder="1" applyAlignment="1" applyProtection="1">
      <alignment vertical="center" wrapText="1"/>
      <protection locked="0"/>
    </xf>
    <xf numFmtId="168" fontId="19" fillId="0" borderId="1" xfId="0" applyNumberFormat="1" applyFont="1" applyFill="1" applyBorder="1" applyAlignment="1" applyProtection="1">
      <alignment vertical="center" wrapText="1"/>
      <protection locked="0"/>
    </xf>
    <xf numFmtId="167" fontId="20" fillId="0" borderId="1" xfId="0" applyNumberFormat="1" applyFont="1" applyFill="1" applyBorder="1" applyAlignment="1" applyProtection="1">
      <alignment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vertical="center" wrapText="1"/>
    </xf>
    <xf numFmtId="170" fontId="10" fillId="4" borderId="1" xfId="23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29" applyFont="1" applyFill="1" applyBorder="1" applyAlignment="1" applyProtection="1">
      <alignment horizontal="center" vertical="center" wrapText="1"/>
    </xf>
    <xf numFmtId="0" fontId="10" fillId="0" borderId="1" xfId="23" applyFont="1" applyFill="1" applyBorder="1" applyAlignment="1" applyProtection="1">
      <alignment vertical="center"/>
      <protection locked="0"/>
    </xf>
    <xf numFmtId="0" fontId="38" fillId="0" borderId="1" xfId="23" applyFont="1" applyFill="1" applyBorder="1" applyAlignment="1" applyProtection="1">
      <alignment vertical="center"/>
      <protection locked="0"/>
    </xf>
    <xf numFmtId="0" fontId="39" fillId="0" borderId="1" xfId="23" applyFont="1" applyFill="1" applyBorder="1" applyAlignment="1" applyProtection="1">
      <alignment vertical="center"/>
      <protection locked="0"/>
    </xf>
    <xf numFmtId="0" fontId="12" fillId="4" borderId="1" xfId="23" applyFont="1" applyFill="1" applyBorder="1" applyAlignment="1" applyProtection="1">
      <alignment horizontal="left" vertical="center"/>
      <protection locked="0"/>
    </xf>
    <xf numFmtId="0" fontId="11" fillId="4" borderId="1" xfId="23" applyFont="1" applyFill="1" applyBorder="1" applyAlignment="1" applyProtection="1">
      <alignment horizontal="justify" vertical="center" wrapText="1"/>
      <protection locked="0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168" fontId="10" fillId="4" borderId="1" xfId="23" applyNumberFormat="1" applyFont="1" applyFill="1" applyBorder="1" applyAlignment="1" applyProtection="1">
      <alignment horizontal="right" vertical="center" wrapText="1"/>
      <protection locked="0"/>
    </xf>
    <xf numFmtId="168" fontId="33" fillId="0" borderId="1" xfId="0" applyNumberFormat="1" applyFont="1" applyFill="1" applyBorder="1" applyAlignment="1" applyProtection="1">
      <alignment vertical="center" wrapText="1"/>
      <protection locked="0"/>
    </xf>
    <xf numFmtId="166" fontId="12" fillId="0" borderId="1" xfId="23" applyNumberFormat="1" applyFont="1" applyFill="1" applyBorder="1" applyAlignment="1" applyProtection="1">
      <alignment vertical="center" wrapText="1"/>
      <protection locked="0"/>
    </xf>
    <xf numFmtId="9" fontId="12" fillId="0" borderId="1" xfId="29" applyFont="1" applyFill="1" applyBorder="1" applyAlignment="1" applyProtection="1">
      <alignment horizontal="center" vertical="center" wrapText="1"/>
    </xf>
    <xf numFmtId="0" fontId="12" fillId="8" borderId="1" xfId="35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68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/>
    </xf>
    <xf numFmtId="168" fontId="33" fillId="0" borderId="1" xfId="23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67" fontId="12" fillId="9" borderId="1" xfId="0" applyNumberFormat="1" applyFont="1" applyFill="1" applyBorder="1" applyAlignment="1" applyProtection="1">
      <alignment horizontal="justify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70" fontId="15" fillId="0" borderId="1" xfId="23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 applyProtection="1">
      <alignment horizontal="center" vertical="center" wrapText="1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9" borderId="1" xfId="33" applyNumberFormat="1" applyFont="1" applyFill="1" applyBorder="1" applyAlignment="1" applyProtection="1">
      <alignment horizontal="center" vertical="center" wrapText="1"/>
    </xf>
    <xf numFmtId="9" fontId="11" fillId="0" borderId="1" xfId="33" applyFont="1" applyFill="1" applyBorder="1" applyAlignment="1" applyProtection="1">
      <alignment horizontal="center" vertical="center" wrapText="1"/>
    </xf>
    <xf numFmtId="0" fontId="40" fillId="0" borderId="0" xfId="0" applyFont="1"/>
    <xf numFmtId="0" fontId="41" fillId="0" borderId="1" xfId="0" applyFont="1" applyBorder="1" applyAlignment="1">
      <alignment horizontal="center"/>
    </xf>
    <xf numFmtId="170" fontId="15" fillId="4" borderId="1" xfId="23" applyNumberFormat="1" applyFont="1" applyFill="1" applyBorder="1" applyAlignment="1">
      <alignment horizontal="right" vertical="center" wrapText="1"/>
    </xf>
    <xf numFmtId="174" fontId="42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168" fontId="0" fillId="0" borderId="0" xfId="0" applyNumberFormat="1"/>
    <xf numFmtId="170" fontId="0" fillId="0" borderId="0" xfId="0" applyNumberFormat="1"/>
    <xf numFmtId="174" fontId="10" fillId="0" borderId="1" xfId="3" applyNumberFormat="1" applyFont="1" applyFill="1" applyBorder="1"/>
    <xf numFmtId="174" fontId="21" fillId="0" borderId="1" xfId="3" applyNumberFormat="1" applyFont="1" applyFill="1" applyBorder="1"/>
    <xf numFmtId="174" fontId="29" fillId="0" borderId="1" xfId="0" applyNumberFormat="1" applyFont="1" applyBorder="1"/>
    <xf numFmtId="0" fontId="10" fillId="0" borderId="2" xfId="23" applyFont="1" applyFill="1" applyBorder="1" applyAlignment="1" applyProtection="1">
      <alignment vertical="center"/>
      <protection locked="0"/>
    </xf>
    <xf numFmtId="0" fontId="10" fillId="0" borderId="4" xfId="23" applyFont="1" applyFill="1" applyBorder="1" applyAlignment="1" applyProtection="1">
      <alignment vertical="center"/>
      <protection locked="0"/>
    </xf>
    <xf numFmtId="0" fontId="10" fillId="0" borderId="5" xfId="23" applyFont="1" applyFill="1" applyBorder="1" applyAlignment="1" applyProtection="1">
      <alignment vertical="center"/>
      <protection locked="0"/>
    </xf>
    <xf numFmtId="4" fontId="10" fillId="4" borderId="1" xfId="23" applyNumberFormat="1" applyFont="1" applyFill="1" applyBorder="1" applyAlignment="1">
      <alignment horizontal="right" vertical="center" wrapText="1"/>
    </xf>
    <xf numFmtId="170" fontId="10" fillId="4" borderId="1" xfId="23" applyNumberFormat="1" applyFont="1" applyFill="1" applyBorder="1" applyAlignment="1">
      <alignment horizontal="right" vertical="center" wrapText="1"/>
    </xf>
    <xf numFmtId="174" fontId="10" fillId="4" borderId="1" xfId="3" applyNumberFormat="1" applyFont="1" applyFill="1" applyBorder="1"/>
    <xf numFmtId="170" fontId="17" fillId="4" borderId="1" xfId="23" applyNumberFormat="1" applyFont="1" applyFill="1" applyBorder="1" applyAlignment="1">
      <alignment horizontal="right" vertical="center" wrapText="1"/>
    </xf>
    <xf numFmtId="0" fontId="2" fillId="0" borderId="0" xfId="23" applyFont="1" applyFill="1" applyAlignment="1" applyProtection="1">
      <alignment horizontal="left" vertical="center"/>
      <protection locked="0"/>
    </xf>
    <xf numFmtId="3" fontId="12" fillId="0" borderId="15" xfId="0" applyNumberFormat="1" applyFont="1" applyFill="1" applyBorder="1" applyAlignment="1" applyProtection="1">
      <alignment horizontal="center" vertical="center" wrapText="1"/>
    </xf>
    <xf numFmtId="9" fontId="11" fillId="9" borderId="1" xfId="23" applyNumberFormat="1" applyFont="1" applyFill="1" applyBorder="1" applyAlignment="1" applyProtection="1">
      <alignment horizontal="center" vertical="center" wrapText="1"/>
    </xf>
    <xf numFmtId="168" fontId="32" fillId="9" borderId="1" xfId="0" applyNumberFormat="1" applyFont="1" applyFill="1" applyBorder="1" applyAlignment="1" applyProtection="1">
      <alignment vertical="center" wrapText="1"/>
      <protection locked="0"/>
    </xf>
    <xf numFmtId="175" fontId="32" fillId="9" borderId="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0" xfId="11" applyFont="1"/>
    <xf numFmtId="168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77" fontId="28" fillId="0" borderId="0" xfId="3" applyNumberFormat="1" applyFont="1"/>
    <xf numFmtId="177" fontId="0" fillId="0" borderId="0" xfId="0" applyNumberFormat="1"/>
    <xf numFmtId="177" fontId="28" fillId="10" borderId="0" xfId="3" applyNumberFormat="1" applyFont="1" applyFill="1"/>
    <xf numFmtId="176" fontId="0" fillId="0" borderId="0" xfId="0" applyNumberFormat="1"/>
    <xf numFmtId="0" fontId="25" fillId="0" borderId="0" xfId="23" applyFont="1" applyFill="1" applyBorder="1" applyProtection="1">
      <protection locked="0"/>
    </xf>
    <xf numFmtId="0" fontId="34" fillId="9" borderId="0" xfId="0" applyFont="1" applyFill="1"/>
    <xf numFmtId="164" fontId="34" fillId="0" borderId="0" xfId="0" applyNumberFormat="1" applyFont="1"/>
    <xf numFmtId="165" fontId="29" fillId="0" borderId="1" xfId="0" applyNumberFormat="1" applyFont="1" applyBorder="1"/>
    <xf numFmtId="9" fontId="0" fillId="0" borderId="1" xfId="0" applyNumberFormat="1" applyBorder="1" applyAlignment="1">
      <alignment horizontal="center"/>
    </xf>
    <xf numFmtId="164" fontId="29" fillId="0" borderId="1" xfId="11" applyFont="1" applyBorder="1"/>
    <xf numFmtId="0" fontId="29" fillId="0" borderId="1" xfId="0" applyFont="1" applyBorder="1"/>
    <xf numFmtId="0" fontId="0" fillId="0" borderId="1" xfId="0" applyBorder="1"/>
    <xf numFmtId="166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3" fontId="33" fillId="0" borderId="0" xfId="0" applyNumberFormat="1" applyFont="1"/>
    <xf numFmtId="0" fontId="33" fillId="0" borderId="0" xfId="0" applyFont="1" applyAlignment="1">
      <alignment wrapText="1"/>
    </xf>
    <xf numFmtId="0" fontId="43" fillId="0" borderId="0" xfId="0" applyFont="1" applyAlignment="1">
      <alignment wrapText="1"/>
    </xf>
    <xf numFmtId="1" fontId="12" fillId="9" borderId="1" xfId="23" applyNumberFormat="1" applyFont="1" applyFill="1" applyBorder="1" applyAlignment="1" applyProtection="1">
      <alignment horizontal="center" vertical="center" wrapText="1"/>
    </xf>
    <xf numFmtId="174" fontId="12" fillId="9" borderId="1" xfId="3" applyNumberFormat="1" applyFont="1" applyFill="1" applyBorder="1"/>
    <xf numFmtId="0" fontId="0" fillId="9" borderId="0" xfId="0" applyFill="1"/>
    <xf numFmtId="167" fontId="12" fillId="0" borderId="5" xfId="0" applyNumberFormat="1" applyFont="1" applyFill="1" applyBorder="1" applyAlignment="1" applyProtection="1">
      <alignment horizontal="justify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167" fontId="1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167" fontId="12" fillId="9" borderId="1" xfId="0" applyNumberFormat="1" applyFont="1" applyFill="1" applyBorder="1" applyAlignment="1" applyProtection="1">
      <alignment horizontal="left" vertical="center" wrapText="1"/>
    </xf>
    <xf numFmtId="167" fontId="12" fillId="10" borderId="1" xfId="0" applyNumberFormat="1" applyFont="1" applyFill="1" applyBorder="1" applyAlignment="1" applyProtection="1">
      <alignment horizontal="left" vertical="center" wrapText="1"/>
    </xf>
    <xf numFmtId="1" fontId="11" fillId="10" borderId="1" xfId="33" applyNumberFormat="1" applyFont="1" applyFill="1" applyBorder="1" applyAlignment="1" applyProtection="1">
      <alignment horizontal="center" vertical="center" wrapText="1"/>
    </xf>
    <xf numFmtId="167" fontId="20" fillId="10" borderId="1" xfId="0" applyNumberFormat="1" applyFont="1" applyFill="1" applyBorder="1" applyAlignment="1" applyProtection="1">
      <alignment horizontal="justify" vertical="center" wrapText="1"/>
    </xf>
    <xf numFmtId="0" fontId="12" fillId="10" borderId="1" xfId="0" applyNumberFormat="1" applyFont="1" applyFill="1" applyBorder="1" applyAlignment="1" applyProtection="1">
      <alignment horizontal="justify" vertical="center" wrapText="1"/>
    </xf>
    <xf numFmtId="0" fontId="12" fillId="10" borderId="1" xfId="23" applyFont="1" applyFill="1" applyBorder="1" applyAlignment="1" applyProtection="1">
      <alignment horizontal="center" vertical="center" wrapText="1"/>
    </xf>
    <xf numFmtId="0" fontId="12" fillId="9" borderId="1" xfId="23" applyFont="1" applyFill="1" applyBorder="1" applyAlignment="1" applyProtection="1">
      <alignment horizontal="center" vertical="center" wrapText="1"/>
    </xf>
    <xf numFmtId="167" fontId="12" fillId="10" borderId="1" xfId="0" applyNumberFormat="1" applyFont="1" applyFill="1" applyBorder="1" applyAlignment="1" applyProtection="1">
      <alignment horizontal="justify" vertical="center" wrapText="1"/>
    </xf>
    <xf numFmtId="9" fontId="12" fillId="10" borderId="1" xfId="23" applyNumberFormat="1" applyFont="1" applyFill="1" applyBorder="1" applyAlignment="1" applyProtection="1">
      <alignment horizontal="center" vertical="center" wrapText="1"/>
    </xf>
    <xf numFmtId="167" fontId="12" fillId="10" borderId="1" xfId="0" applyNumberFormat="1" applyFont="1" applyFill="1" applyBorder="1" applyAlignment="1" applyProtection="1">
      <alignment vertical="center" wrapText="1"/>
    </xf>
    <xf numFmtId="9" fontId="12" fillId="10" borderId="1" xfId="0" applyNumberFormat="1" applyFont="1" applyFill="1" applyBorder="1" applyAlignment="1" applyProtection="1">
      <alignment horizontal="center" vertical="center" wrapText="1"/>
    </xf>
    <xf numFmtId="167" fontId="12" fillId="10" borderId="1" xfId="0" applyNumberFormat="1" applyFont="1" applyFill="1" applyBorder="1" applyAlignment="1" applyProtection="1">
      <alignment horizontal="left" wrapText="1"/>
    </xf>
    <xf numFmtId="0" fontId="33" fillId="10" borderId="1" xfId="0" applyNumberFormat="1" applyFont="1" applyFill="1" applyBorder="1" applyAlignment="1" applyProtection="1">
      <alignment horizontal="justify" vertical="center" wrapText="1"/>
    </xf>
    <xf numFmtId="0" fontId="33" fillId="10" borderId="1" xfId="0" applyFont="1" applyFill="1" applyBorder="1" applyAlignment="1" applyProtection="1">
      <alignment horizontal="justify" vertical="center" wrapText="1"/>
    </xf>
    <xf numFmtId="0" fontId="12" fillId="10" borderId="1" xfId="0" applyFont="1" applyFill="1" applyBorder="1" applyAlignment="1" applyProtection="1">
      <alignment horizontal="justify" vertical="center" wrapText="1"/>
    </xf>
    <xf numFmtId="0" fontId="29" fillId="0" borderId="1" xfId="0" applyFont="1" applyBorder="1" applyAlignment="1">
      <alignment horizontal="center"/>
    </xf>
    <xf numFmtId="0" fontId="44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167" fontId="20" fillId="0" borderId="1" xfId="0" applyNumberFormat="1" applyFont="1" applyFill="1" applyBorder="1" applyAlignment="1" applyProtection="1">
      <alignment horizontal="left" vertical="center" wrapText="1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167" fontId="20" fillId="9" borderId="6" xfId="0" applyNumberFormat="1" applyFont="1" applyFill="1" applyBorder="1" applyAlignment="1" applyProtection="1">
      <alignment horizontal="left" vertical="center" wrapText="1"/>
    </xf>
    <xf numFmtId="167" fontId="20" fillId="9" borderId="3" xfId="0" applyNumberFormat="1" applyFont="1" applyFill="1" applyBorder="1" applyAlignment="1" applyProtection="1">
      <alignment horizontal="left" vertical="center" wrapText="1"/>
    </xf>
    <xf numFmtId="0" fontId="17" fillId="4" borderId="1" xfId="23" applyFont="1" applyFill="1" applyBorder="1" applyAlignment="1" applyProtection="1">
      <alignment horizontal="center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23" applyFont="1" applyFill="1" applyBorder="1" applyAlignment="1" applyProtection="1">
      <alignment horizontal="left" vertical="center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66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4" fillId="0" borderId="0" xfId="23" applyFont="1" applyFill="1" applyAlignment="1" applyProtection="1">
      <alignment horizontal="right" vertical="center"/>
      <protection locked="0"/>
    </xf>
    <xf numFmtId="0" fontId="17" fillId="0" borderId="0" xfId="23" applyFont="1" applyFill="1" applyBorder="1" applyAlignment="1" applyProtection="1">
      <alignment horizontal="right" vertical="center"/>
      <protection locked="0"/>
    </xf>
    <xf numFmtId="0" fontId="31" fillId="0" borderId="0" xfId="23" applyFont="1" applyFill="1" applyAlignment="1" applyProtection="1">
      <alignment horizontal="right" vertical="center"/>
      <protection locked="0"/>
    </xf>
    <xf numFmtId="168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68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23" applyFont="1" applyFill="1" applyBorder="1" applyAlignment="1" applyProtection="1">
      <alignment horizontal="left" vertical="center" wrapText="1"/>
    </xf>
    <xf numFmtId="167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68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17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1" fillId="0" borderId="1" xfId="23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justify" vertical="center" wrapText="1"/>
    </xf>
    <xf numFmtId="0" fontId="12" fillId="0" borderId="3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8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175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5" fontId="32" fillId="9" borderId="1" xfId="0" applyNumberFormat="1" applyFont="1" applyFill="1" applyBorder="1" applyAlignment="1" applyProtection="1">
      <alignment horizontal="right" vertical="center" wrapText="1"/>
      <protection locked="0"/>
    </xf>
    <xf numFmtId="167" fontId="12" fillId="0" borderId="6" xfId="0" applyNumberFormat="1" applyFont="1" applyFill="1" applyBorder="1" applyAlignment="1" applyProtection="1">
      <alignment horizontal="left" vertical="center" wrapText="1"/>
    </xf>
    <xf numFmtId="167" fontId="12" fillId="0" borderId="3" xfId="0" applyNumberFormat="1" applyFont="1" applyFill="1" applyBorder="1" applyAlignment="1" applyProtection="1">
      <alignment horizontal="left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6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5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68" fontId="12" fillId="9" borderId="1" xfId="24" applyNumberFormat="1" applyFont="1" applyFill="1" applyBorder="1" applyAlignment="1" applyProtection="1">
      <alignment horizontal="right" vertical="center" wrapText="1"/>
      <protection locked="0"/>
    </xf>
    <xf numFmtId="0" fontId="21" fillId="4" borderId="1" xfId="23" applyFont="1" applyFill="1" applyBorder="1" applyAlignment="1" applyProtection="1">
      <alignment horizontal="center"/>
      <protection locked="0"/>
    </xf>
    <xf numFmtId="0" fontId="4" fillId="0" borderId="0" xfId="23" applyFont="1" applyAlignment="1" applyProtection="1">
      <alignment horizontal="right" vertical="center"/>
      <protection locked="0"/>
    </xf>
    <xf numFmtId="0" fontId="7" fillId="0" borderId="0" xfId="23" applyFont="1" applyFill="1" applyAlignment="1" applyProtection="1">
      <alignment horizontal="right" vertical="center"/>
      <protection locked="0"/>
    </xf>
    <xf numFmtId="168" fontId="12" fillId="0" borderId="6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75" fontId="32" fillId="9" borderId="6" xfId="0" applyNumberFormat="1" applyFont="1" applyFill="1" applyBorder="1" applyAlignment="1" applyProtection="1">
      <alignment horizontal="right" vertical="center" wrapText="1"/>
      <protection locked="0"/>
    </xf>
    <xf numFmtId="175" fontId="32" fillId="9" borderId="3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7" xfId="0" applyNumberFormat="1" applyFont="1" applyFill="1" applyBorder="1" applyAlignment="1" applyProtection="1">
      <alignment horizontal="left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7" xfId="0" applyNumberFormat="1" applyFont="1" applyFill="1" applyBorder="1" applyAlignment="1" applyProtection="1">
      <alignment horizontal="center" vertical="center" wrapText="1"/>
    </xf>
    <xf numFmtId="167" fontId="12" fillId="0" borderId="3" xfId="0" applyNumberFormat="1" applyFont="1" applyFill="1" applyBorder="1" applyAlignment="1" applyProtection="1">
      <alignment horizontal="center" vertical="center" wrapText="1"/>
    </xf>
    <xf numFmtId="168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9" borderId="1" xfId="0" applyNumberFormat="1" applyFont="1" applyFill="1" applyBorder="1" applyAlignment="1" applyProtection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 wrapText="1"/>
    </xf>
    <xf numFmtId="3" fontId="12" fillId="0" borderId="7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3" fontId="12" fillId="9" borderId="6" xfId="0" applyNumberFormat="1" applyFont="1" applyFill="1" applyBorder="1" applyAlignment="1" applyProtection="1">
      <alignment horizontal="center" vertical="center" wrapText="1"/>
    </xf>
    <xf numFmtId="3" fontId="12" fillId="9" borderId="7" xfId="0" applyNumberFormat="1" applyFont="1" applyFill="1" applyBorder="1" applyAlignment="1" applyProtection="1">
      <alignment horizontal="center" vertical="center" wrapText="1"/>
    </xf>
    <xf numFmtId="3" fontId="12" fillId="9" borderId="3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Alignment="1">
      <alignment horizontal="right"/>
    </xf>
    <xf numFmtId="0" fontId="10" fillId="0" borderId="0" xfId="23" applyFont="1" applyFill="1" applyAlignment="1" applyProtection="1">
      <alignment horizontal="right" vertical="center"/>
      <protection locked="0"/>
    </xf>
    <xf numFmtId="167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68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168" fontId="12" fillId="0" borderId="6" xfId="23" applyNumberFormat="1" applyFont="1" applyFill="1" applyBorder="1" applyAlignment="1" applyProtection="1">
      <alignment horizontal="right" vertical="center" wrapText="1"/>
      <protection locked="0"/>
    </xf>
    <xf numFmtId="168" fontId="12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67" fontId="12" fillId="9" borderId="1" xfId="0" applyNumberFormat="1" applyFont="1" applyFill="1" applyBorder="1" applyAlignment="1" applyProtection="1">
      <alignment horizontal="left" vertical="center" wrapText="1"/>
    </xf>
    <xf numFmtId="0" fontId="39" fillId="0" borderId="0" xfId="23" applyFont="1" applyFill="1" applyBorder="1" applyAlignment="1" applyProtection="1">
      <alignment vertical="center"/>
      <protection locked="0"/>
    </xf>
    <xf numFmtId="1" fontId="12" fillId="0" borderId="17" xfId="29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29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>
      <alignment horizontal="center"/>
    </xf>
    <xf numFmtId="9" fontId="41" fillId="0" borderId="1" xfId="29" applyFont="1" applyBorder="1" applyAlignment="1">
      <alignment horizontal="center"/>
    </xf>
    <xf numFmtId="0" fontId="22" fillId="0" borderId="1" xfId="23" applyFont="1" applyBorder="1" applyAlignment="1" applyProtection="1">
      <alignment horizontal="center" vertical="center"/>
      <protection locked="0"/>
    </xf>
    <xf numFmtId="0" fontId="12" fillId="0" borderId="1" xfId="23" applyFont="1" applyFill="1" applyBorder="1" applyAlignment="1" applyProtection="1">
      <alignment horizontal="center" vertical="center" wrapText="1"/>
    </xf>
    <xf numFmtId="168" fontId="3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68" fontId="32" fillId="0" borderId="6" xfId="0" applyNumberFormat="1" applyFont="1" applyFill="1" applyBorder="1" applyAlignment="1" applyProtection="1">
      <alignment horizontal="right" vertical="center" wrapText="1"/>
      <protection locked="0"/>
    </xf>
    <xf numFmtId="168" fontId="32" fillId="0" borderId="7" xfId="0" applyNumberFormat="1" applyFont="1" applyFill="1" applyBorder="1" applyAlignment="1" applyProtection="1">
      <alignment horizontal="right" vertical="center" wrapText="1"/>
      <protection locked="0"/>
    </xf>
    <xf numFmtId="168" fontId="3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6" xfId="0" applyFont="1" applyBorder="1" applyAlignment="1">
      <alignment horizontal="left" wrapText="1"/>
    </xf>
    <xf numFmtId="0" fontId="33" fillId="0" borderId="7" xfId="0" applyFont="1" applyBorder="1" applyAlignment="1">
      <alignment horizontal="left" wrapText="1"/>
    </xf>
    <xf numFmtId="0" fontId="33" fillId="0" borderId="3" xfId="0" applyFont="1" applyBorder="1" applyAlignment="1">
      <alignment horizontal="left" wrapText="1"/>
    </xf>
    <xf numFmtId="176" fontId="23" fillId="0" borderId="6" xfId="23" applyNumberFormat="1" applyFont="1" applyFill="1" applyBorder="1" applyAlignment="1" applyProtection="1">
      <alignment horizontal="right" vertical="center"/>
      <protection locked="0"/>
    </xf>
    <xf numFmtId="176" fontId="23" fillId="0" borderId="7" xfId="23" applyNumberFormat="1" applyFont="1" applyFill="1" applyBorder="1" applyAlignment="1" applyProtection="1">
      <alignment horizontal="right" vertical="center"/>
      <protection locked="0"/>
    </xf>
    <xf numFmtId="176" fontId="23" fillId="0" borderId="3" xfId="23" applyNumberFormat="1" applyFont="1" applyFill="1" applyBorder="1" applyAlignment="1" applyProtection="1">
      <alignment horizontal="right" vertical="center"/>
      <protection locked="0"/>
    </xf>
    <xf numFmtId="0" fontId="21" fillId="0" borderId="0" xfId="23" applyFont="1" applyAlignment="1" applyProtection="1">
      <alignment horizontal="right" vertical="center"/>
      <protection locked="0"/>
    </xf>
    <xf numFmtId="176" fontId="23" fillId="0" borderId="6" xfId="23" applyNumberFormat="1" applyFont="1" applyFill="1" applyBorder="1" applyAlignment="1" applyProtection="1">
      <alignment horizontal="center" vertical="center"/>
      <protection locked="0"/>
    </xf>
    <xf numFmtId="176" fontId="23" fillId="0" borderId="7" xfId="23" applyNumberFormat="1" applyFont="1" applyFill="1" applyBorder="1" applyAlignment="1" applyProtection="1">
      <alignment horizontal="center" vertical="center"/>
      <protection locked="0"/>
    </xf>
    <xf numFmtId="176" fontId="23" fillId="0" borderId="3" xfId="23" applyNumberFormat="1" applyFont="1" applyFill="1" applyBorder="1" applyAlignment="1" applyProtection="1">
      <alignment horizontal="center" vertical="center"/>
      <protection locked="0"/>
    </xf>
    <xf numFmtId="176" fontId="22" fillId="0" borderId="6" xfId="23" applyNumberFormat="1" applyFont="1" applyFill="1" applyBorder="1" applyAlignment="1" applyProtection="1">
      <alignment horizontal="center" vertical="center"/>
      <protection locked="0"/>
    </xf>
    <xf numFmtId="176" fontId="22" fillId="0" borderId="7" xfId="23" applyNumberFormat="1" applyFont="1" applyFill="1" applyBorder="1" applyAlignment="1" applyProtection="1">
      <alignment horizontal="center" vertical="center"/>
      <protection locked="0"/>
    </xf>
    <xf numFmtId="176" fontId="22" fillId="0" borderId="3" xfId="23" applyNumberFormat="1" applyFont="1" applyFill="1" applyBorder="1" applyAlignment="1" applyProtection="1">
      <alignment horizontal="center" vertical="center"/>
      <protection locked="0"/>
    </xf>
    <xf numFmtId="3" fontId="23" fillId="0" borderId="6" xfId="23" applyNumberFormat="1" applyFont="1" applyFill="1" applyBorder="1" applyAlignment="1" applyProtection="1">
      <alignment horizontal="center" vertical="center"/>
      <protection locked="0"/>
    </xf>
    <xf numFmtId="3" fontId="23" fillId="0" borderId="7" xfId="23" applyNumberFormat="1" applyFont="1" applyFill="1" applyBorder="1" applyAlignment="1" applyProtection="1">
      <alignment horizontal="center" vertical="center"/>
      <protection locked="0"/>
    </xf>
    <xf numFmtId="3" fontId="23" fillId="0" borderId="3" xfId="23" applyNumberFormat="1" applyFont="1" applyFill="1" applyBorder="1" applyAlignment="1" applyProtection="1">
      <alignment horizontal="center" vertical="center"/>
      <protection locked="0"/>
    </xf>
    <xf numFmtId="167" fontId="12" fillId="10" borderId="6" xfId="0" applyNumberFormat="1" applyFont="1" applyFill="1" applyBorder="1" applyAlignment="1" applyProtection="1">
      <alignment horizontal="center" vertical="center" wrapText="1"/>
    </xf>
    <xf numFmtId="167" fontId="12" fillId="10" borderId="3" xfId="0" applyNumberFormat="1" applyFont="1" applyFill="1" applyBorder="1" applyAlignment="1" applyProtection="1">
      <alignment horizontal="center" vertical="center" wrapText="1"/>
    </xf>
    <xf numFmtId="0" fontId="19" fillId="9" borderId="8" xfId="0" applyFont="1" applyFill="1" applyBorder="1" applyAlignment="1">
      <alignment horizontal="right" vertical="center" wrapText="1"/>
    </xf>
    <xf numFmtId="0" fontId="19" fillId="9" borderId="9" xfId="0" applyFont="1" applyFill="1" applyBorder="1" applyAlignment="1">
      <alignment horizontal="right" vertical="center" wrapText="1"/>
    </xf>
    <xf numFmtId="0" fontId="4" fillId="4" borderId="1" xfId="23" applyFont="1" applyFill="1" applyBorder="1" applyAlignment="1" applyProtection="1">
      <alignment horizontal="center"/>
      <protection locked="0"/>
    </xf>
    <xf numFmtId="167" fontId="12" fillId="0" borderId="6" xfId="0" applyNumberFormat="1" applyFont="1" applyFill="1" applyBorder="1" applyAlignment="1" applyProtection="1">
      <alignment horizontal="justify" vertical="center" wrapText="1"/>
    </xf>
    <xf numFmtId="167" fontId="12" fillId="0" borderId="7" xfId="0" applyNumberFormat="1" applyFont="1" applyFill="1" applyBorder="1" applyAlignment="1" applyProtection="1">
      <alignment horizontal="justify" vertical="center" wrapText="1"/>
    </xf>
    <xf numFmtId="167" fontId="12" fillId="0" borderId="3" xfId="0" applyNumberFormat="1" applyFont="1" applyFill="1" applyBorder="1" applyAlignment="1" applyProtection="1">
      <alignment horizontal="justify" vertical="center" wrapText="1"/>
    </xf>
    <xf numFmtId="168" fontId="33" fillId="10" borderId="6" xfId="23" applyNumberFormat="1" applyFont="1" applyFill="1" applyBorder="1" applyAlignment="1" applyProtection="1">
      <alignment horizontal="right" vertical="center" wrapText="1"/>
      <protection locked="0"/>
    </xf>
    <xf numFmtId="168" fontId="33" fillId="10" borderId="3" xfId="23" applyNumberFormat="1" applyFont="1" applyFill="1" applyBorder="1" applyAlignment="1" applyProtection="1">
      <alignment horizontal="right" vertical="center" wrapText="1"/>
      <protection locked="0"/>
    </xf>
    <xf numFmtId="0" fontId="12" fillId="10" borderId="6" xfId="23" applyFont="1" applyFill="1" applyBorder="1" applyAlignment="1" applyProtection="1">
      <alignment horizontal="center" vertical="center" wrapText="1"/>
    </xf>
    <xf numFmtId="0" fontId="12" fillId="10" borderId="7" xfId="23" applyFont="1" applyFill="1" applyBorder="1" applyAlignment="1" applyProtection="1">
      <alignment horizontal="center" vertical="center" wrapText="1"/>
    </xf>
    <xf numFmtId="0" fontId="12" fillId="10" borderId="3" xfId="23" applyFont="1" applyFill="1" applyBorder="1" applyAlignment="1" applyProtection="1">
      <alignment horizontal="center" vertical="center" wrapText="1"/>
    </xf>
    <xf numFmtId="0" fontId="11" fillId="10" borderId="6" xfId="0" applyFont="1" applyFill="1" applyBorder="1" applyAlignment="1" applyProtection="1">
      <alignment horizontal="center" vertical="center" wrapText="1"/>
    </xf>
    <xf numFmtId="0" fontId="11" fillId="10" borderId="3" xfId="0" applyFont="1" applyFill="1" applyBorder="1" applyAlignment="1" applyProtection="1">
      <alignment horizontal="center" vertical="center" wrapText="1"/>
    </xf>
    <xf numFmtId="3" fontId="11" fillId="10" borderId="6" xfId="0" applyNumberFormat="1" applyFont="1" applyFill="1" applyBorder="1" applyAlignment="1" applyProtection="1">
      <alignment horizontal="center" vertical="center" wrapText="1"/>
    </xf>
    <xf numFmtId="3" fontId="11" fillId="10" borderId="3" xfId="0" applyNumberFormat="1" applyFont="1" applyFill="1" applyBorder="1" applyAlignment="1" applyProtection="1">
      <alignment horizontal="center" vertical="center" wrapText="1"/>
    </xf>
    <xf numFmtId="167" fontId="12" fillId="10" borderId="6" xfId="0" applyNumberFormat="1" applyFont="1" applyFill="1" applyBorder="1" applyAlignment="1" applyProtection="1">
      <alignment horizontal="left" vertical="center" wrapText="1"/>
    </xf>
    <xf numFmtId="167" fontId="12" fillId="10" borderId="3" xfId="0" applyNumberFormat="1" applyFont="1" applyFill="1" applyBorder="1" applyAlignment="1" applyProtection="1">
      <alignment horizontal="left" vertical="center" wrapText="1"/>
    </xf>
    <xf numFmtId="168" fontId="12" fillId="10" borderId="6" xfId="0" applyNumberFormat="1" applyFont="1" applyFill="1" applyBorder="1" applyAlignment="1" applyProtection="1">
      <alignment horizontal="right" vertical="center" wrapText="1"/>
      <protection locked="0"/>
    </xf>
    <xf numFmtId="168" fontId="12" fillId="10" borderId="3" xfId="0" applyNumberFormat="1" applyFont="1" applyFill="1" applyBorder="1" applyAlignment="1" applyProtection="1">
      <alignment horizontal="right" vertical="center" wrapText="1"/>
      <protection locked="0"/>
    </xf>
    <xf numFmtId="168" fontId="12" fillId="10" borderId="6" xfId="23" applyNumberFormat="1" applyFont="1" applyFill="1" applyBorder="1" applyAlignment="1" applyProtection="1">
      <alignment horizontal="right" vertical="center" wrapText="1"/>
      <protection locked="0"/>
    </xf>
    <xf numFmtId="168" fontId="12" fillId="10" borderId="3" xfId="23" applyNumberFormat="1" applyFont="1" applyFill="1" applyBorder="1" applyAlignment="1" applyProtection="1">
      <alignment horizontal="right" vertical="center" wrapText="1"/>
      <protection locked="0"/>
    </xf>
    <xf numFmtId="168" fontId="32" fillId="10" borderId="6" xfId="0" applyNumberFormat="1" applyFont="1" applyFill="1" applyBorder="1" applyAlignment="1" applyProtection="1">
      <alignment horizontal="right" vertical="center" wrapText="1"/>
      <protection locked="0"/>
    </xf>
    <xf numFmtId="168" fontId="32" fillId="10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/>
      <protection locked="0"/>
    </xf>
    <xf numFmtId="0" fontId="19" fillId="9" borderId="0" xfId="23" applyFont="1" applyFill="1" applyAlignment="1" applyProtection="1">
      <alignment horizontal="right" vertical="center"/>
      <protection locked="0"/>
    </xf>
    <xf numFmtId="168" fontId="12" fillId="0" borderId="1" xfId="23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168" fontId="12" fillId="0" borderId="7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9" fontId="11" fillId="0" borderId="6" xfId="33" applyFont="1" applyFill="1" applyBorder="1" applyAlignment="1" applyProtection="1">
      <alignment horizontal="center" vertical="center" wrapText="1"/>
    </xf>
    <xf numFmtId="9" fontId="11" fillId="0" borderId="7" xfId="33" applyFont="1" applyFill="1" applyBorder="1" applyAlignment="1" applyProtection="1">
      <alignment horizontal="center" vertical="center" wrapText="1"/>
    </xf>
    <xf numFmtId="9" fontId="11" fillId="0" borderId="3" xfId="33" applyFont="1" applyFill="1" applyBorder="1" applyAlignment="1" applyProtection="1">
      <alignment horizontal="center" vertical="center" wrapText="1"/>
    </xf>
    <xf numFmtId="168" fontId="11" fillId="0" borderId="6" xfId="23" applyNumberFormat="1" applyFont="1" applyFill="1" applyBorder="1" applyAlignment="1" applyProtection="1">
      <alignment horizontal="right" vertical="center" wrapText="1"/>
      <protection locked="0"/>
    </xf>
    <xf numFmtId="168" fontId="11" fillId="0" borderId="7" xfId="23" applyNumberFormat="1" applyFont="1" applyFill="1" applyBorder="1" applyAlignment="1" applyProtection="1">
      <alignment horizontal="right" vertical="center" wrapText="1"/>
      <protection locked="0"/>
    </xf>
    <xf numFmtId="168" fontId="11" fillId="0" borderId="3" xfId="23" applyNumberFormat="1" applyFont="1" applyFill="1" applyBorder="1" applyAlignment="1" applyProtection="1">
      <alignment horizontal="right" vertical="center" wrapText="1"/>
      <protection locked="0"/>
    </xf>
    <xf numFmtId="167" fontId="33" fillId="0" borderId="1" xfId="0" applyNumberFormat="1" applyFont="1" applyFill="1" applyBorder="1" applyAlignment="1" applyProtection="1">
      <alignment horizontal="left" vertical="center" wrapText="1"/>
    </xf>
    <xf numFmtId="0" fontId="11" fillId="9" borderId="1" xfId="23" applyFont="1" applyFill="1" applyBorder="1" applyAlignment="1" applyProtection="1">
      <alignment horizontal="left" vertical="center" wrapText="1"/>
      <protection locked="0"/>
    </xf>
    <xf numFmtId="168" fontId="11" fillId="0" borderId="1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6" xfId="23" applyNumberFormat="1" applyFont="1" applyFill="1" applyBorder="1" applyAlignment="1" applyProtection="1">
      <alignment horizontal="center" vertical="center" wrapText="1"/>
    </xf>
    <xf numFmtId="1" fontId="11" fillId="0" borderId="3" xfId="23" applyNumberFormat="1" applyFont="1" applyFill="1" applyBorder="1" applyAlignment="1" applyProtection="1">
      <alignment horizontal="center" vertical="center" wrapText="1"/>
    </xf>
    <xf numFmtId="0" fontId="7" fillId="0" borderId="0" xfId="23" applyFont="1" applyFill="1" applyBorder="1" applyAlignment="1" applyProtection="1">
      <alignment horizontal="right" vertical="center"/>
      <protection locked="0"/>
    </xf>
    <xf numFmtId="168" fontId="12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36">
    <cellStyle name="Coma 2" xfId="1"/>
    <cellStyle name="Coma 3" xfId="2"/>
    <cellStyle name="Millares" xfId="3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6" xfId="10"/>
    <cellStyle name="Moneda" xfId="11" builtinId="4"/>
    <cellStyle name="Moneda 2" xfId="12"/>
    <cellStyle name="Moneda 3" xfId="13"/>
    <cellStyle name="Moneda 3 2" xfId="14"/>
    <cellStyle name="Moneda 4" xfId="15"/>
    <cellStyle name="Moneda 5" xfId="16"/>
    <cellStyle name="Moneda 6" xfId="17"/>
    <cellStyle name="Normal" xfId="0" builtinId="0"/>
    <cellStyle name="Normal 10" xfId="18"/>
    <cellStyle name="Normal 11" xfId="19"/>
    <cellStyle name="Normal 13" xfId="20"/>
    <cellStyle name="Normal 14" xfId="21"/>
    <cellStyle name="Normal 15" xfId="22"/>
    <cellStyle name="Normal 2" xfId="23"/>
    <cellStyle name="Normal 3" xfId="24"/>
    <cellStyle name="Normal 3 2" xfId="25"/>
    <cellStyle name="Normal 4" xfId="26"/>
    <cellStyle name="Normal 8" xfId="27"/>
    <cellStyle name="Normal 9" xfId="28"/>
    <cellStyle name="Porcentaje" xfId="29" builtinId="5"/>
    <cellStyle name="Porcentaje 2" xfId="30"/>
    <cellStyle name="Porcentaje 3" xfId="31"/>
    <cellStyle name="Porcentaje 4" xfId="32"/>
    <cellStyle name="Porcentual 2" xfId="33"/>
    <cellStyle name="Porcentual 3" xfId="34"/>
    <cellStyle name="TableStyleLight1" xfId="35"/>
  </cellStyles>
  <dxfs count="1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0</xdr:row>
      <xdr:rowOff>38100</xdr:rowOff>
    </xdr:from>
    <xdr:to>
      <xdr:col>8</xdr:col>
      <xdr:colOff>2019300</xdr:colOff>
      <xdr:row>4</xdr:row>
      <xdr:rowOff>171450</xdr:rowOff>
    </xdr:to>
    <xdr:pic>
      <xdr:nvPicPr>
        <xdr:cNvPr id="12483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"/>
          <a:ext cx="1758950" cy="12890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13509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996950" cy="8890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996950</xdr:colOff>
      <xdr:row>3</xdr:row>
      <xdr:rowOff>279400</xdr:rowOff>
    </xdr:to>
    <xdr:pic>
      <xdr:nvPicPr>
        <xdr:cNvPr id="35015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5250"/>
          <a:ext cx="996950" cy="7683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889000</xdr:colOff>
      <xdr:row>2</xdr:row>
      <xdr:rowOff>127000</xdr:rowOff>
    </xdr:to>
    <xdr:pic>
      <xdr:nvPicPr>
        <xdr:cNvPr id="36022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889000" cy="5588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3</xdr:row>
      <xdr:rowOff>247650</xdr:rowOff>
    </xdr:to>
    <xdr:pic>
      <xdr:nvPicPr>
        <xdr:cNvPr id="37052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177800</xdr:colOff>
      <xdr:row>3</xdr:row>
      <xdr:rowOff>165100</xdr:rowOff>
    </xdr:to>
    <xdr:pic>
      <xdr:nvPicPr>
        <xdr:cNvPr id="38077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39800" cy="7747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39091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990600</xdr:colOff>
      <xdr:row>1</xdr:row>
      <xdr:rowOff>584200</xdr:rowOff>
    </xdr:to>
    <xdr:pic>
      <xdr:nvPicPr>
        <xdr:cNvPr id="40124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00"/>
          <a:ext cx="990600" cy="9271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S%20DE%20CONTRATACION%202011/Plan_Contratacion_Ecosistemas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A ENTIDAD"/>
      <sheetName val="2. CONTROL POA DEPENDENCIA"/>
      <sheetName val="3. DETALLE PLAN DE CONTRATACION"/>
      <sheetName val="4. SOLICITUD CDP"/>
      <sheetName val="Copia"/>
    </sheetNames>
    <sheetDataSet>
      <sheetData sheetId="0"/>
      <sheetData sheetId="1"/>
      <sheetData sheetId="2" refreshError="1">
        <row r="493">
          <cell r="L493" t="str">
            <v>C.D. - Convenio Interadministrativo</v>
          </cell>
        </row>
        <row r="494">
          <cell r="L494" t="str">
            <v>C.D. - Proveedor exclusivo</v>
          </cell>
        </row>
        <row r="495">
          <cell r="L495" t="str">
            <v>C.D. - Prestación de Servicios</v>
          </cell>
        </row>
        <row r="496">
          <cell r="L496" t="str">
            <v>C.D. - Ciencia y Tecnología - Convenios de asociación</v>
          </cell>
        </row>
        <row r="497">
          <cell r="L497" t="str">
            <v>Selección abreviada - 10% menor cuantía</v>
          </cell>
        </row>
        <row r="498">
          <cell r="L498" t="str">
            <v>Selección abreviada de menor cuantía</v>
          </cell>
        </row>
        <row r="499">
          <cell r="L499" t="str">
            <v>Selección abreviada - Subasta Inversa</v>
          </cell>
        </row>
        <row r="500">
          <cell r="L500" t="str">
            <v>Licitación Pública</v>
          </cell>
        </row>
        <row r="501">
          <cell r="L501" t="str">
            <v>Concurso de Méritos</v>
          </cell>
        </row>
        <row r="502">
          <cell r="L502" t="str">
            <v>- No Requiere 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R29"/>
  <sheetViews>
    <sheetView workbookViewId="0">
      <selection activeCell="I1" sqref="I1"/>
    </sheetView>
  </sheetViews>
  <sheetFormatPr baseColWidth="10" defaultRowHeight="14.5" x14ac:dyDescent="0.35"/>
  <cols>
    <col min="1" max="1" width="6.81640625" customWidth="1"/>
    <col min="2" max="6" width="11.453125" hidden="1" customWidth="1"/>
    <col min="7" max="7" width="6.54296875" hidden="1" customWidth="1"/>
    <col min="8" max="8" width="5.81640625" hidden="1" customWidth="1"/>
    <col min="9" max="9" width="31.26953125" customWidth="1"/>
    <col min="10" max="10" width="19.26953125" bestFit="1" customWidth="1"/>
    <col min="11" max="12" width="18.26953125" bestFit="1" customWidth="1"/>
    <col min="13" max="13" width="27" bestFit="1" customWidth="1"/>
    <col min="15" max="15" width="18.26953125" customWidth="1"/>
    <col min="16" max="16" width="25" customWidth="1"/>
    <col min="17" max="17" width="16.7265625" customWidth="1"/>
    <col min="18" max="18" width="33.54296875" customWidth="1"/>
    <col min="19" max="19" width="12" bestFit="1" customWidth="1"/>
  </cols>
  <sheetData>
    <row r="2" spans="9:18" ht="14.25" customHeight="1" x14ac:dyDescent="0.35"/>
    <row r="3" spans="9:18" x14ac:dyDescent="0.35">
      <c r="I3" s="229" t="s">
        <v>17</v>
      </c>
      <c r="J3" s="229"/>
      <c r="K3" s="229"/>
      <c r="L3" s="229"/>
      <c r="M3" s="229"/>
      <c r="O3" s="230" t="s">
        <v>347</v>
      </c>
      <c r="P3" s="231" t="s">
        <v>348</v>
      </c>
      <c r="Q3" s="233" t="s">
        <v>324</v>
      </c>
    </row>
    <row r="4" spans="9:18" ht="31.5" customHeight="1" x14ac:dyDescent="0.35">
      <c r="I4" s="43" t="s">
        <v>317</v>
      </c>
      <c r="J4" s="44" t="s">
        <v>360</v>
      </c>
      <c r="K4" s="44" t="s">
        <v>19</v>
      </c>
      <c r="L4" s="44" t="s">
        <v>361</v>
      </c>
      <c r="M4" s="43" t="s">
        <v>318</v>
      </c>
      <c r="O4" s="230"/>
      <c r="P4" s="232"/>
      <c r="Q4" s="233"/>
    </row>
    <row r="5" spans="9:18" ht="21.75" customHeight="1" x14ac:dyDescent="0.35">
      <c r="I5" s="47" t="s">
        <v>177</v>
      </c>
      <c r="J5" s="42">
        <f>METEOROLOGÍA!R65</f>
        <v>876844346</v>
      </c>
      <c r="K5" s="42">
        <f>METEOROLOGÍA!S65</f>
        <v>0</v>
      </c>
      <c r="L5" s="42">
        <f>METEOROLOGÍA!T65</f>
        <v>315000000</v>
      </c>
      <c r="M5" s="42">
        <f>METEOROLOGÍA!Q65</f>
        <v>1191844346</v>
      </c>
      <c r="O5" s="42">
        <f>METEOROLOGÍA!U65</f>
        <v>986658537</v>
      </c>
      <c r="P5" s="42"/>
      <c r="Q5" s="166"/>
    </row>
    <row r="6" spans="9:18" ht="25.5" customHeight="1" x14ac:dyDescent="0.35">
      <c r="I6" s="47" t="s">
        <v>112</v>
      </c>
      <c r="J6" s="42">
        <f>HIDROLOGÍA!R34</f>
        <v>2183443753</v>
      </c>
      <c r="K6" s="42">
        <f>HIDROLOGÍA!S34</f>
        <v>0</v>
      </c>
      <c r="L6" s="42">
        <f>HIDROLOGÍA!T34</f>
        <v>300000000</v>
      </c>
      <c r="M6" s="42">
        <f>HIDROLOGÍA!Q34</f>
        <v>2483443753</v>
      </c>
      <c r="O6" s="42">
        <f>HIDROLOGÍA!U34</f>
        <v>452354732</v>
      </c>
      <c r="P6" s="42"/>
      <c r="Q6" s="166"/>
    </row>
    <row r="7" spans="9:18" ht="25.5" customHeight="1" x14ac:dyDescent="0.35">
      <c r="I7" s="47" t="s">
        <v>22</v>
      </c>
      <c r="J7" s="42">
        <f>'ESTUDIOS AMBIENTALES'!Y45</f>
        <v>892201591</v>
      </c>
      <c r="K7" s="42">
        <f>'ESTUDIOS AMBIENTALES'!Z45</f>
        <v>2606983533</v>
      </c>
      <c r="L7" s="42">
        <f>'ESTUDIOS AMBIENTALES'!AA45</f>
        <v>0</v>
      </c>
      <c r="M7" s="42">
        <f>'ESTUDIOS AMBIENTALES'!X45</f>
        <v>3499185124</v>
      </c>
      <c r="O7" s="42">
        <f>'ESTUDIOS AMBIENTALES'!AC45</f>
        <v>47383335</v>
      </c>
      <c r="P7" s="42"/>
      <c r="Q7" s="166"/>
    </row>
    <row r="8" spans="9:18" ht="25.5" customHeight="1" x14ac:dyDescent="0.35">
      <c r="I8" s="47" t="s">
        <v>319</v>
      </c>
      <c r="J8" s="42">
        <f>ECOSISTEMAS!R30</f>
        <v>3743998590</v>
      </c>
      <c r="K8" s="42">
        <f>ECOSISTEMAS!S30</f>
        <v>0</v>
      </c>
      <c r="L8" s="42">
        <f>ECOSISTEMAS!T30</f>
        <v>1500000000</v>
      </c>
      <c r="M8" s="42">
        <f>ECOSISTEMAS!Q30</f>
        <v>5243998590</v>
      </c>
      <c r="O8" s="42">
        <f>ECOSISTEMAS!U30</f>
        <v>125488629</v>
      </c>
      <c r="P8" s="42"/>
      <c r="Q8" s="166"/>
      <c r="R8" s="48"/>
    </row>
    <row r="9" spans="9:18" ht="22.5" customHeight="1" x14ac:dyDescent="0.35">
      <c r="I9" s="47" t="s">
        <v>320</v>
      </c>
      <c r="J9" s="42">
        <f>REDES!R16</f>
        <v>1304923542</v>
      </c>
      <c r="K9" s="42">
        <f>REDES!S16</f>
        <v>350000000</v>
      </c>
      <c r="L9" s="42">
        <f>REDES!T16</f>
        <v>499964668</v>
      </c>
      <c r="M9" s="42">
        <f>REDES!Q16</f>
        <v>2154888210</v>
      </c>
      <c r="O9" s="42">
        <f>REDES!U16</f>
        <v>4621550777</v>
      </c>
      <c r="P9" s="42"/>
      <c r="Q9" s="166"/>
    </row>
    <row r="10" spans="9:18" ht="18.75" customHeight="1" x14ac:dyDescent="0.35">
      <c r="I10" s="47" t="s">
        <v>302</v>
      </c>
      <c r="J10" s="42">
        <f>INFORMÁTICA!R15</f>
        <v>2528665570</v>
      </c>
      <c r="K10" s="42">
        <f>INFORMÁTICA!S15</f>
        <v>0</v>
      </c>
      <c r="L10" s="42">
        <f>INFORMÁTICA!T15</f>
        <v>1550000000</v>
      </c>
      <c r="M10" s="42">
        <f>INFORMÁTICA!Q15</f>
        <v>4078665570</v>
      </c>
      <c r="O10" s="206">
        <f>INFORMÁTICA!U15</f>
        <v>3845575980.3499999</v>
      </c>
      <c r="P10" s="42"/>
      <c r="Q10" s="166"/>
      <c r="R10" s="207"/>
    </row>
    <row r="11" spans="9:18" ht="24" customHeight="1" x14ac:dyDescent="0.35">
      <c r="I11" s="47" t="s">
        <v>321</v>
      </c>
      <c r="J11" s="42">
        <f>PRONÓSTICOS!R15</f>
        <v>320466580</v>
      </c>
      <c r="K11" s="42">
        <f>PRONÓSTICOS!S15</f>
        <v>0</v>
      </c>
      <c r="L11" s="42">
        <f>PRONÓSTICOS!T15</f>
        <v>0</v>
      </c>
      <c r="M11" s="42">
        <f>PRONÓSTICOS!Q15</f>
        <v>320466580</v>
      </c>
      <c r="O11" s="42">
        <f>PRONÓSTICOS!U15</f>
        <v>1319838034</v>
      </c>
      <c r="P11" s="42"/>
      <c r="Q11" s="166"/>
    </row>
    <row r="12" spans="9:18" ht="21" customHeight="1" x14ac:dyDescent="0.35">
      <c r="I12" s="47" t="s">
        <v>322</v>
      </c>
      <c r="J12" s="42">
        <f>'SECRETARÍA GENERAL'!R22</f>
        <v>3619278993</v>
      </c>
      <c r="K12" s="42">
        <f>'SECRETARÍA GENERAL'!S22</f>
        <v>0</v>
      </c>
      <c r="L12" s="42">
        <f>'SECRETARÍA GENERAL'!T22</f>
        <v>1100000000</v>
      </c>
      <c r="M12" s="42">
        <f>'SECRETARÍA GENERAL'!Q22</f>
        <v>4719278993</v>
      </c>
      <c r="O12" s="42">
        <f>'SECRETARÍA GENERAL'!U22</f>
        <v>10175045216.65</v>
      </c>
      <c r="P12" s="42"/>
      <c r="Q12" s="166"/>
    </row>
    <row r="13" spans="9:18" ht="21" customHeight="1" x14ac:dyDescent="0.35">
      <c r="I13" s="47" t="s">
        <v>313</v>
      </c>
      <c r="J13" s="42">
        <f>PLANEACIÓN!R14</f>
        <v>67977760</v>
      </c>
      <c r="K13" s="42">
        <f>PLANEACIÓN!S14</f>
        <v>0</v>
      </c>
      <c r="L13" s="42">
        <f>PLANEACIÓN!T14</f>
        <v>0</v>
      </c>
      <c r="M13" s="42">
        <f>PLANEACIÓN!Q14</f>
        <v>67977760</v>
      </c>
      <c r="O13" s="42">
        <f>PLANEACIÓN!U14</f>
        <v>63986512</v>
      </c>
      <c r="P13" s="42"/>
      <c r="Q13" s="166"/>
    </row>
    <row r="14" spans="9:18" ht="22.5" customHeight="1" x14ac:dyDescent="0.35">
      <c r="I14" s="45" t="s">
        <v>53</v>
      </c>
      <c r="J14" s="170">
        <f>SUM(J5:J13)</f>
        <v>15537800725</v>
      </c>
      <c r="K14" s="170">
        <f>SUM(K5:K13)</f>
        <v>2956983533</v>
      </c>
      <c r="L14" s="170">
        <f>SUM(L5:L13)</f>
        <v>5264964668</v>
      </c>
      <c r="M14" s="170">
        <f>SUM(M5:M13)</f>
        <v>23759748926</v>
      </c>
      <c r="O14" s="170">
        <f>O5+O6+O7+O8+O9+O10+O11+O12+O13</f>
        <v>21637881753</v>
      </c>
      <c r="P14" s="228" t="s">
        <v>349</v>
      </c>
      <c r="Q14" s="228"/>
    </row>
    <row r="15" spans="9:18" ht="20.25" customHeight="1" x14ac:dyDescent="0.35">
      <c r="I15" s="167" t="s">
        <v>323</v>
      </c>
      <c r="J15" s="178">
        <v>15537800725</v>
      </c>
      <c r="K15" s="178">
        <v>2956983533</v>
      </c>
      <c r="L15" s="178">
        <v>5264964668</v>
      </c>
      <c r="M15" s="178">
        <f>SUM(J15:L15)</f>
        <v>23759748926</v>
      </c>
      <c r="O15" s="42">
        <v>23516996000</v>
      </c>
      <c r="P15" s="228" t="s">
        <v>350</v>
      </c>
      <c r="Q15" s="228"/>
    </row>
    <row r="16" spans="9:18" ht="20.25" customHeight="1" x14ac:dyDescent="0.35">
      <c r="I16" s="167"/>
      <c r="J16" s="178"/>
      <c r="K16" s="178"/>
      <c r="L16" s="178"/>
      <c r="M16" s="178"/>
      <c r="O16" s="42">
        <v>106197000</v>
      </c>
      <c r="P16" s="228" t="s">
        <v>371</v>
      </c>
      <c r="Q16" s="228"/>
    </row>
    <row r="17" spans="9:17" ht="20.25" customHeight="1" x14ac:dyDescent="0.35">
      <c r="I17" s="167"/>
      <c r="J17" s="178"/>
      <c r="K17" s="178"/>
      <c r="L17" s="178"/>
      <c r="M17" s="178"/>
      <c r="O17" s="42">
        <v>27140000</v>
      </c>
      <c r="P17" s="228" t="s">
        <v>372</v>
      </c>
      <c r="Q17" s="228"/>
    </row>
    <row r="18" spans="9:17" ht="19.899999999999999" customHeight="1" x14ac:dyDescent="0.35">
      <c r="I18" s="167" t="s">
        <v>324</v>
      </c>
      <c r="J18" s="46">
        <f>+J14-J15</f>
        <v>0</v>
      </c>
      <c r="K18" s="46">
        <f>+K14-K15</f>
        <v>0</v>
      </c>
      <c r="L18" s="46">
        <f>+L14-L15</f>
        <v>0</v>
      </c>
      <c r="M18" s="46">
        <f>SUM(J18:L18)</f>
        <v>0</v>
      </c>
      <c r="O18" s="42">
        <v>466650000</v>
      </c>
      <c r="P18" s="228" t="s">
        <v>373</v>
      </c>
      <c r="Q18" s="228"/>
    </row>
    <row r="19" spans="9:17" x14ac:dyDescent="0.35">
      <c r="J19" s="185"/>
      <c r="K19" s="185"/>
      <c r="L19" s="185"/>
      <c r="M19" s="185"/>
      <c r="O19" s="170">
        <v>460401287</v>
      </c>
      <c r="P19" s="228" t="s">
        <v>374</v>
      </c>
      <c r="Q19" s="228"/>
    </row>
    <row r="20" spans="9:17" x14ac:dyDescent="0.35">
      <c r="O20" s="170">
        <f>O14+O15+O16+O17+O18+O19</f>
        <v>46215266040</v>
      </c>
      <c r="P20" s="228" t="s">
        <v>351</v>
      </c>
      <c r="Q20" s="228"/>
    </row>
    <row r="22" spans="9:17" x14ac:dyDescent="0.35">
      <c r="O22" s="195">
        <v>-0.01</v>
      </c>
    </row>
    <row r="23" spans="9:17" ht="15.5" x14ac:dyDescent="0.35">
      <c r="L23" s="171">
        <v>46215266040</v>
      </c>
      <c r="M23" s="227" t="s">
        <v>353</v>
      </c>
      <c r="N23" s="227"/>
      <c r="O23" s="194">
        <f>L23</f>
        <v>46215266040</v>
      </c>
    </row>
    <row r="24" spans="9:17" ht="15.5" x14ac:dyDescent="0.35">
      <c r="L24" s="171">
        <v>24466567258</v>
      </c>
      <c r="M24" s="227" t="s">
        <v>354</v>
      </c>
      <c r="N24" s="227"/>
      <c r="O24" s="194">
        <f>L24-L28-L29</f>
        <v>23759748926</v>
      </c>
    </row>
    <row r="25" spans="9:17" x14ac:dyDescent="0.35">
      <c r="L25" s="172">
        <f>L24+L23</f>
        <v>70681833298</v>
      </c>
      <c r="M25" s="227" t="s">
        <v>355</v>
      </c>
      <c r="N25" s="227"/>
      <c r="O25" s="194">
        <f>O24+O23</f>
        <v>69975014966</v>
      </c>
    </row>
    <row r="26" spans="9:17" x14ac:dyDescent="0.35">
      <c r="L26" s="185"/>
    </row>
    <row r="27" spans="9:17" x14ac:dyDescent="0.35">
      <c r="L27" s="196">
        <f>L28+L29</f>
        <v>706818332</v>
      </c>
      <c r="M27" s="197" t="s">
        <v>358</v>
      </c>
      <c r="N27" s="198"/>
      <c r="O27" s="198"/>
    </row>
    <row r="28" spans="9:17" x14ac:dyDescent="0.35">
      <c r="L28" s="196">
        <v>641198390</v>
      </c>
      <c r="M28" s="197" t="s">
        <v>359</v>
      </c>
      <c r="N28" s="198"/>
      <c r="O28" s="195">
        <v>-0.01</v>
      </c>
    </row>
    <row r="29" spans="9:17" x14ac:dyDescent="0.35">
      <c r="L29" s="196">
        <v>65619942</v>
      </c>
      <c r="M29" s="197" t="s">
        <v>19</v>
      </c>
      <c r="N29" s="198"/>
      <c r="O29" s="195">
        <v>-0.01</v>
      </c>
    </row>
  </sheetData>
  <mergeCells count="14">
    <mergeCell ref="I3:M3"/>
    <mergeCell ref="O3:O4"/>
    <mergeCell ref="P3:P4"/>
    <mergeCell ref="Q3:Q4"/>
    <mergeCell ref="P14:Q14"/>
    <mergeCell ref="M24:N24"/>
    <mergeCell ref="M25:N25"/>
    <mergeCell ref="P18:Q18"/>
    <mergeCell ref="P19:Q19"/>
    <mergeCell ref="P15:Q15"/>
    <mergeCell ref="P20:Q20"/>
    <mergeCell ref="P16:Q16"/>
    <mergeCell ref="P17:Q17"/>
    <mergeCell ref="M23:N2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1:V31"/>
  <sheetViews>
    <sheetView topLeftCell="L1" workbookViewId="0">
      <selection activeCell="N14" sqref="N14"/>
    </sheetView>
  </sheetViews>
  <sheetFormatPr baseColWidth="10" defaultRowHeight="14.5" x14ac:dyDescent="0.35"/>
  <cols>
    <col min="2" max="2" width="20.1796875" customWidth="1"/>
    <col min="3" max="3" width="20.54296875" customWidth="1"/>
    <col min="4" max="4" width="22.453125" customWidth="1"/>
    <col min="5" max="5" width="5.453125" customWidth="1"/>
    <col min="6" max="6" width="4.7265625" customWidth="1"/>
    <col min="7" max="7" width="5" customWidth="1"/>
    <col min="8" max="8" width="5.1796875" customWidth="1"/>
    <col min="9" max="9" width="10.1796875" customWidth="1"/>
    <col min="11" max="11" width="16.1796875" customWidth="1"/>
    <col min="12" max="12" width="5.81640625" customWidth="1"/>
    <col min="13" max="13" width="25.26953125" customWidth="1"/>
    <col min="14" max="14" width="16.1796875" customWidth="1"/>
    <col min="15" max="15" width="8.7265625" customWidth="1"/>
    <col min="16" max="16" width="20.26953125" customWidth="1"/>
    <col min="17" max="18" width="16.7265625" bestFit="1" customWidth="1"/>
    <col min="19" max="19" width="15.1796875" customWidth="1"/>
    <col min="20" max="20" width="18.26953125" customWidth="1"/>
    <col min="21" max="21" width="20.7265625" customWidth="1"/>
    <col min="22" max="22" width="17.7265625" bestFit="1" customWidth="1"/>
    <col min="25" max="25" width="12" bestFit="1" customWidth="1"/>
    <col min="26" max="26" width="19.1796875" customWidth="1"/>
  </cols>
  <sheetData>
    <row r="1" spans="2:21" ht="50.25" customHeight="1" x14ac:dyDescent="0.35">
      <c r="M1" s="290" t="s">
        <v>0</v>
      </c>
      <c r="N1" s="290"/>
      <c r="O1" s="290"/>
      <c r="P1" s="290"/>
      <c r="Q1" s="290"/>
      <c r="R1" s="290"/>
      <c r="S1" s="290"/>
      <c r="T1" s="290"/>
      <c r="U1" s="290"/>
    </row>
    <row r="2" spans="2:21" ht="24" customHeight="1" x14ac:dyDescent="0.35">
      <c r="M2" s="405" t="s">
        <v>346</v>
      </c>
      <c r="N2" s="405"/>
      <c r="O2" s="405"/>
      <c r="P2" s="405"/>
      <c r="Q2" s="405"/>
      <c r="R2" s="405"/>
      <c r="S2" s="405"/>
      <c r="T2" s="405"/>
      <c r="U2" s="405"/>
    </row>
    <row r="3" spans="2:21" x14ac:dyDescent="0.35">
      <c r="B3" s="282" t="s">
        <v>23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2:21" x14ac:dyDescent="0.35">
      <c r="B4" s="282" t="s">
        <v>154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</row>
    <row r="5" spans="2:21" x14ac:dyDescent="0.35">
      <c r="B5" s="282" t="s">
        <v>155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2:21" x14ac:dyDescent="0.35">
      <c r="B6" s="284" t="s">
        <v>3</v>
      </c>
      <c r="C6" s="284"/>
      <c r="D6" s="284"/>
      <c r="E6" s="284"/>
      <c r="F6" s="284"/>
      <c r="G6" s="284"/>
      <c r="H6" s="284"/>
      <c r="I6" s="284"/>
      <c r="J6" s="284"/>
      <c r="K6" s="85"/>
      <c r="L6" s="284" t="s">
        <v>32</v>
      </c>
      <c r="M6" s="284"/>
      <c r="N6" s="284"/>
      <c r="O6" s="284"/>
      <c r="P6" s="284"/>
      <c r="Q6" s="285" t="s">
        <v>4</v>
      </c>
      <c r="R6" s="285"/>
      <c r="S6" s="285"/>
      <c r="T6" s="285"/>
      <c r="U6" s="286" t="s">
        <v>40</v>
      </c>
    </row>
    <row r="7" spans="2:21" ht="42.75" customHeight="1" x14ac:dyDescent="0.35">
      <c r="B7" s="86" t="s">
        <v>51</v>
      </c>
      <c r="C7" s="86" t="s">
        <v>12</v>
      </c>
      <c r="D7" s="86" t="s">
        <v>52</v>
      </c>
      <c r="E7" s="86" t="s">
        <v>24</v>
      </c>
      <c r="F7" s="86" t="s">
        <v>25</v>
      </c>
      <c r="G7" s="86" t="s">
        <v>26</v>
      </c>
      <c r="H7" s="86" t="s">
        <v>27</v>
      </c>
      <c r="I7" s="86" t="s">
        <v>28</v>
      </c>
      <c r="J7" s="86" t="s">
        <v>29</v>
      </c>
      <c r="K7" s="86" t="s">
        <v>47</v>
      </c>
      <c r="L7" s="87" t="s">
        <v>14</v>
      </c>
      <c r="M7" s="87" t="s">
        <v>31</v>
      </c>
      <c r="N7" s="87" t="s">
        <v>15</v>
      </c>
      <c r="O7" s="87" t="s">
        <v>16</v>
      </c>
      <c r="P7" s="86" t="s">
        <v>48</v>
      </c>
      <c r="Q7" s="87" t="s">
        <v>17</v>
      </c>
      <c r="R7" s="87" t="s">
        <v>18</v>
      </c>
      <c r="S7" s="87" t="s">
        <v>19</v>
      </c>
      <c r="T7" s="200" t="s">
        <v>361</v>
      </c>
      <c r="U7" s="286"/>
    </row>
    <row r="8" spans="2:21" ht="23" x14ac:dyDescent="0.35">
      <c r="B8" s="401" t="s">
        <v>327</v>
      </c>
      <c r="C8" s="277" t="s">
        <v>328</v>
      </c>
      <c r="D8" s="60" t="s">
        <v>329</v>
      </c>
      <c r="E8" s="158">
        <v>1</v>
      </c>
      <c r="F8" s="158">
        <v>0</v>
      </c>
      <c r="G8" s="158">
        <v>0</v>
      </c>
      <c r="H8" s="158">
        <v>0</v>
      </c>
      <c r="I8" s="155">
        <f t="shared" ref="I8:I15" si="0">SUM(E8:H8)</f>
        <v>1</v>
      </c>
      <c r="J8" s="60" t="s">
        <v>322</v>
      </c>
      <c r="K8" s="257"/>
      <c r="L8" s="273">
        <v>1</v>
      </c>
      <c r="M8" s="257" t="s">
        <v>352</v>
      </c>
      <c r="N8" s="257" t="s">
        <v>345</v>
      </c>
      <c r="O8" s="390">
        <v>1</v>
      </c>
      <c r="P8" s="257" t="s">
        <v>164</v>
      </c>
      <c r="Q8" s="274">
        <f>R8+S8+T8</f>
        <v>3440615210</v>
      </c>
      <c r="R8" s="324">
        <f>3500000000-129384790-1100000000+370000000-300000000</f>
        <v>2340615210</v>
      </c>
      <c r="S8" s="324">
        <v>0</v>
      </c>
      <c r="T8" s="324">
        <v>1100000000</v>
      </c>
      <c r="U8" s="262">
        <v>0</v>
      </c>
    </row>
    <row r="9" spans="2:21" ht="33.65" customHeight="1" x14ac:dyDescent="0.35">
      <c r="B9" s="401"/>
      <c r="C9" s="277"/>
      <c r="D9" s="60" t="s">
        <v>330</v>
      </c>
      <c r="E9" s="156">
        <v>0</v>
      </c>
      <c r="F9" s="156">
        <v>2</v>
      </c>
      <c r="G9" s="156">
        <v>4</v>
      </c>
      <c r="H9" s="156">
        <v>2</v>
      </c>
      <c r="I9" s="152">
        <f t="shared" si="0"/>
        <v>8</v>
      </c>
      <c r="J9" s="60" t="s">
        <v>322</v>
      </c>
      <c r="K9" s="257"/>
      <c r="L9" s="273"/>
      <c r="M9" s="257"/>
      <c r="N9" s="257"/>
      <c r="O9" s="390"/>
      <c r="P9" s="257"/>
      <c r="Q9" s="274"/>
      <c r="R9" s="324"/>
      <c r="S9" s="324"/>
      <c r="T9" s="324"/>
      <c r="U9" s="262"/>
    </row>
    <row r="10" spans="2:21" ht="63" customHeight="1" x14ac:dyDescent="0.35">
      <c r="B10" s="401"/>
      <c r="C10" s="277" t="s">
        <v>331</v>
      </c>
      <c r="D10" s="61" t="s">
        <v>332</v>
      </c>
      <c r="E10" s="57">
        <v>1</v>
      </c>
      <c r="F10" s="159">
        <v>0</v>
      </c>
      <c r="G10" s="159">
        <v>0</v>
      </c>
      <c r="H10" s="159">
        <v>0</v>
      </c>
      <c r="I10" s="152">
        <f t="shared" si="0"/>
        <v>1</v>
      </c>
      <c r="J10" s="60" t="s">
        <v>322</v>
      </c>
      <c r="K10" s="268" t="s">
        <v>168</v>
      </c>
      <c r="L10" s="273">
        <v>2</v>
      </c>
      <c r="M10" s="277" t="s">
        <v>331</v>
      </c>
      <c r="N10" s="223" t="s">
        <v>383</v>
      </c>
      <c r="O10" s="160">
        <v>1</v>
      </c>
      <c r="P10" s="60" t="s">
        <v>164</v>
      </c>
      <c r="Q10" s="397">
        <f>R10+S10+T10</f>
        <v>620000000</v>
      </c>
      <c r="R10" s="325">
        <f>320000000+300000000</f>
        <v>620000000</v>
      </c>
      <c r="S10" s="325">
        <v>0</v>
      </c>
      <c r="T10" s="325">
        <v>0</v>
      </c>
      <c r="U10" s="292">
        <v>68360000</v>
      </c>
    </row>
    <row r="11" spans="2:21" ht="58.5" customHeight="1" x14ac:dyDescent="0.35">
      <c r="B11" s="401"/>
      <c r="C11" s="277"/>
      <c r="D11" s="60" t="s">
        <v>333</v>
      </c>
      <c r="E11" s="57">
        <v>720</v>
      </c>
      <c r="F11" s="57">
        <v>720</v>
      </c>
      <c r="G11" s="57">
        <v>720</v>
      </c>
      <c r="H11" s="57">
        <v>720</v>
      </c>
      <c r="I11" s="59">
        <f t="shared" si="0"/>
        <v>2880</v>
      </c>
      <c r="J11" s="60" t="s">
        <v>322</v>
      </c>
      <c r="K11" s="268"/>
      <c r="L11" s="273"/>
      <c r="M11" s="277"/>
      <c r="N11" s="60" t="s">
        <v>333</v>
      </c>
      <c r="O11" s="161">
        <v>720</v>
      </c>
      <c r="P11" s="60" t="s">
        <v>164</v>
      </c>
      <c r="Q11" s="398"/>
      <c r="R11" s="392"/>
      <c r="S11" s="392"/>
      <c r="T11" s="392"/>
      <c r="U11" s="406"/>
    </row>
    <row r="12" spans="2:21" ht="52.5" customHeight="1" x14ac:dyDescent="0.35">
      <c r="B12" s="401"/>
      <c r="C12" s="277"/>
      <c r="D12" s="257" t="s">
        <v>334</v>
      </c>
      <c r="E12" s="269">
        <v>2</v>
      </c>
      <c r="F12" s="269">
        <v>2</v>
      </c>
      <c r="G12" s="269">
        <v>2</v>
      </c>
      <c r="H12" s="269">
        <v>2</v>
      </c>
      <c r="I12" s="393">
        <f t="shared" si="0"/>
        <v>8</v>
      </c>
      <c r="J12" s="268" t="s">
        <v>322</v>
      </c>
      <c r="K12" s="268"/>
      <c r="L12" s="273"/>
      <c r="M12" s="277"/>
      <c r="N12" s="60" t="s">
        <v>334</v>
      </c>
      <c r="O12" s="160">
        <v>2</v>
      </c>
      <c r="P12" s="60" t="s">
        <v>164</v>
      </c>
      <c r="Q12" s="398"/>
      <c r="R12" s="392"/>
      <c r="S12" s="392"/>
      <c r="T12" s="392"/>
      <c r="U12" s="406"/>
    </row>
    <row r="13" spans="2:21" ht="52.5" customHeight="1" x14ac:dyDescent="0.35">
      <c r="B13" s="401"/>
      <c r="C13" s="277"/>
      <c r="D13" s="257"/>
      <c r="E13" s="269"/>
      <c r="F13" s="269"/>
      <c r="G13" s="269"/>
      <c r="H13" s="269"/>
      <c r="I13" s="393"/>
      <c r="J13" s="268"/>
      <c r="K13" s="268"/>
      <c r="L13" s="273"/>
      <c r="M13" s="277"/>
      <c r="N13" s="60" t="s">
        <v>368</v>
      </c>
      <c r="O13" s="214">
        <v>7</v>
      </c>
      <c r="P13" s="60" t="s">
        <v>164</v>
      </c>
      <c r="Q13" s="398"/>
      <c r="R13" s="392"/>
      <c r="S13" s="392"/>
      <c r="T13" s="392"/>
      <c r="U13" s="406"/>
    </row>
    <row r="14" spans="2:21" ht="66.75" customHeight="1" x14ac:dyDescent="0.35">
      <c r="B14" s="401"/>
      <c r="C14" s="277"/>
      <c r="D14" s="257"/>
      <c r="E14" s="269"/>
      <c r="F14" s="269"/>
      <c r="G14" s="269"/>
      <c r="H14" s="269"/>
      <c r="I14" s="393"/>
      <c r="J14" s="268"/>
      <c r="K14" s="268"/>
      <c r="L14" s="273"/>
      <c r="M14" s="277"/>
      <c r="N14" s="221" t="s">
        <v>384</v>
      </c>
      <c r="O14" s="214">
        <v>1</v>
      </c>
      <c r="P14" s="60" t="s">
        <v>164</v>
      </c>
      <c r="Q14" s="399"/>
      <c r="R14" s="326"/>
      <c r="S14" s="326"/>
      <c r="T14" s="326"/>
      <c r="U14" s="293"/>
    </row>
    <row r="15" spans="2:21" ht="50.25" customHeight="1" x14ac:dyDescent="0.35">
      <c r="B15" s="401"/>
      <c r="C15" s="277" t="s">
        <v>335</v>
      </c>
      <c r="D15" s="257" t="s">
        <v>336</v>
      </c>
      <c r="E15" s="269">
        <v>1</v>
      </c>
      <c r="F15" s="269">
        <v>0</v>
      </c>
      <c r="G15" s="269">
        <v>0</v>
      </c>
      <c r="H15" s="269">
        <v>0</v>
      </c>
      <c r="I15" s="393">
        <f t="shared" si="0"/>
        <v>1</v>
      </c>
      <c r="J15" s="268" t="s">
        <v>322</v>
      </c>
      <c r="K15" s="257" t="s">
        <v>168</v>
      </c>
      <c r="L15" s="273">
        <v>3</v>
      </c>
      <c r="M15" s="257" t="s">
        <v>366</v>
      </c>
      <c r="N15" s="60" t="s">
        <v>337</v>
      </c>
      <c r="O15" s="162">
        <v>0.95</v>
      </c>
      <c r="P15" s="60" t="s">
        <v>338</v>
      </c>
      <c r="Q15" s="274">
        <f>SUM(R15:T15)</f>
        <v>0</v>
      </c>
      <c r="R15" s="324">
        <v>0</v>
      </c>
      <c r="S15" s="324">
        <v>0</v>
      </c>
      <c r="T15" s="324">
        <v>0</v>
      </c>
      <c r="U15" s="324">
        <v>440000000</v>
      </c>
    </row>
    <row r="16" spans="2:21" ht="50.25" customHeight="1" x14ac:dyDescent="0.35">
      <c r="B16" s="401"/>
      <c r="C16" s="277"/>
      <c r="D16" s="257"/>
      <c r="E16" s="269"/>
      <c r="F16" s="269"/>
      <c r="G16" s="269"/>
      <c r="H16" s="269"/>
      <c r="I16" s="393"/>
      <c r="J16" s="268"/>
      <c r="K16" s="257"/>
      <c r="L16" s="273"/>
      <c r="M16" s="257"/>
      <c r="N16" s="60" t="s">
        <v>339</v>
      </c>
      <c r="O16" s="162">
        <v>1</v>
      </c>
      <c r="P16" s="60" t="s">
        <v>338</v>
      </c>
      <c r="Q16" s="274"/>
      <c r="R16" s="324"/>
      <c r="S16" s="324"/>
      <c r="T16" s="324"/>
      <c r="U16" s="324"/>
    </row>
    <row r="17" spans="2:22" ht="23.25" customHeight="1" x14ac:dyDescent="0.35">
      <c r="B17" s="401"/>
      <c r="C17" s="277"/>
      <c r="D17" s="257"/>
      <c r="E17" s="269"/>
      <c r="F17" s="269"/>
      <c r="G17" s="269"/>
      <c r="H17" s="269"/>
      <c r="I17" s="393"/>
      <c r="J17" s="268"/>
      <c r="K17" s="257"/>
      <c r="L17" s="273"/>
      <c r="M17" s="257"/>
      <c r="N17" s="280" t="s">
        <v>340</v>
      </c>
      <c r="O17" s="394">
        <v>1</v>
      </c>
      <c r="P17" s="300" t="s">
        <v>338</v>
      </c>
      <c r="Q17" s="274"/>
      <c r="R17" s="324"/>
      <c r="S17" s="324"/>
      <c r="T17" s="324"/>
      <c r="U17" s="324"/>
    </row>
    <row r="18" spans="2:22" ht="33.75" customHeight="1" x14ac:dyDescent="0.35">
      <c r="B18" s="401"/>
      <c r="C18" s="277"/>
      <c r="D18" s="60" t="s">
        <v>341</v>
      </c>
      <c r="E18" s="57">
        <v>1</v>
      </c>
      <c r="F18" s="205">
        <v>1</v>
      </c>
      <c r="G18" s="57">
        <v>1</v>
      </c>
      <c r="H18" s="57">
        <v>1</v>
      </c>
      <c r="I18" s="152">
        <f>SUM(E18:H18)</f>
        <v>4</v>
      </c>
      <c r="J18" s="60" t="s">
        <v>322</v>
      </c>
      <c r="K18" s="257"/>
      <c r="L18" s="273"/>
      <c r="M18" s="257"/>
      <c r="N18" s="299"/>
      <c r="O18" s="395"/>
      <c r="P18" s="301"/>
      <c r="Q18" s="274"/>
      <c r="R18" s="324"/>
      <c r="S18" s="324"/>
      <c r="T18" s="324"/>
      <c r="U18" s="324"/>
    </row>
    <row r="19" spans="2:22" ht="38.25" customHeight="1" x14ac:dyDescent="0.35">
      <c r="B19" s="401"/>
      <c r="C19" s="277"/>
      <c r="D19" s="61" t="s">
        <v>342</v>
      </c>
      <c r="E19" s="57">
        <v>1</v>
      </c>
      <c r="F19" s="57">
        <v>0</v>
      </c>
      <c r="G19" s="57">
        <v>0</v>
      </c>
      <c r="H19" s="57">
        <v>0</v>
      </c>
      <c r="I19" s="152">
        <f>SUM(E19:H19)</f>
        <v>1</v>
      </c>
      <c r="J19" s="60" t="s">
        <v>322</v>
      </c>
      <c r="K19" s="257"/>
      <c r="L19" s="273"/>
      <c r="M19" s="257"/>
      <c r="N19" s="281"/>
      <c r="O19" s="396"/>
      <c r="P19" s="302"/>
      <c r="Q19" s="274"/>
      <c r="R19" s="324"/>
      <c r="S19" s="324"/>
      <c r="T19" s="324"/>
      <c r="U19" s="324"/>
    </row>
    <row r="20" spans="2:22" ht="39.75" customHeight="1" x14ac:dyDescent="0.35">
      <c r="B20" s="401"/>
      <c r="C20" s="322" t="s">
        <v>343</v>
      </c>
      <c r="D20" s="72" t="s">
        <v>344</v>
      </c>
      <c r="E20" s="57">
        <v>1</v>
      </c>
      <c r="F20" s="57">
        <v>0</v>
      </c>
      <c r="G20" s="57">
        <v>0</v>
      </c>
      <c r="H20" s="57">
        <v>0</v>
      </c>
      <c r="I20" s="152">
        <v>1</v>
      </c>
      <c r="J20" s="77" t="s">
        <v>322</v>
      </c>
      <c r="K20" s="257" t="s">
        <v>168</v>
      </c>
      <c r="L20" s="273">
        <v>4</v>
      </c>
      <c r="M20" s="322" t="s">
        <v>363</v>
      </c>
      <c r="N20" s="313" t="s">
        <v>364</v>
      </c>
      <c r="O20" s="403">
        <v>1</v>
      </c>
      <c r="P20" s="400" t="s">
        <v>365</v>
      </c>
      <c r="Q20" s="402">
        <f>R20+S20+T20</f>
        <v>658663783</v>
      </c>
      <c r="R20" s="324">
        <v>658663783</v>
      </c>
      <c r="S20" s="324">
        <v>0</v>
      </c>
      <c r="T20" s="324">
        <v>0</v>
      </c>
      <c r="U20" s="324">
        <f>9591294166-53050000-8000000+9184900-19184000+2266887.65+1208079111-216462493-9438355-61000000-27000000-750005000</f>
        <v>9666685216.6499996</v>
      </c>
    </row>
    <row r="21" spans="2:22" ht="57.75" customHeight="1" x14ac:dyDescent="0.35">
      <c r="B21" s="401"/>
      <c r="C21" s="322"/>
      <c r="D21" s="69" t="s">
        <v>363</v>
      </c>
      <c r="E21" s="57">
        <v>1</v>
      </c>
      <c r="F21" s="205">
        <v>1</v>
      </c>
      <c r="G21" s="57">
        <v>1</v>
      </c>
      <c r="H21" s="57">
        <v>1</v>
      </c>
      <c r="I21" s="152">
        <v>4</v>
      </c>
      <c r="J21" s="77" t="s">
        <v>322</v>
      </c>
      <c r="K21" s="257"/>
      <c r="L21" s="273"/>
      <c r="M21" s="322"/>
      <c r="N21" s="315"/>
      <c r="O21" s="404"/>
      <c r="P21" s="400"/>
      <c r="Q21" s="402"/>
      <c r="R21" s="324"/>
      <c r="S21" s="324"/>
      <c r="T21" s="324"/>
      <c r="U21" s="324"/>
    </row>
    <row r="22" spans="2:22" ht="21.75" customHeight="1" x14ac:dyDescent="0.35">
      <c r="B22" s="386" t="s">
        <v>53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177">
        <f>Q20+Q15+Q10+Q8</f>
        <v>4719278993</v>
      </c>
      <c r="R22" s="177">
        <f>R20+R15+R10+R8</f>
        <v>3619278993</v>
      </c>
      <c r="S22" s="177">
        <f>SUBTOTAL(9,S8:S21)</f>
        <v>0</v>
      </c>
      <c r="T22" s="177">
        <f>SUBTOTAL(9,T8:T21)</f>
        <v>1100000000</v>
      </c>
      <c r="U22" s="177">
        <f>U20+U15+U10+U8</f>
        <v>10175045216.65</v>
      </c>
      <c r="V22" s="168"/>
    </row>
    <row r="23" spans="2:22" x14ac:dyDescent="0.35">
      <c r="Q23" s="168"/>
      <c r="R23" s="168"/>
      <c r="S23" s="168"/>
      <c r="T23" s="168"/>
      <c r="U23" s="168"/>
      <c r="V23" s="169"/>
    </row>
    <row r="24" spans="2:22" x14ac:dyDescent="0.35">
      <c r="Q24" s="168"/>
      <c r="R24" s="168"/>
      <c r="S24" s="168"/>
      <c r="T24" s="168"/>
      <c r="U24" s="168"/>
    </row>
    <row r="26" spans="2:22" x14ac:dyDescent="0.35">
      <c r="M26" s="210"/>
      <c r="N26" s="203"/>
      <c r="P26" s="203"/>
      <c r="Q26" s="204"/>
      <c r="R26" s="168"/>
    </row>
    <row r="27" spans="2:22" x14ac:dyDescent="0.35">
      <c r="M27" s="210"/>
    </row>
    <row r="28" spans="2:22" x14ac:dyDescent="0.35">
      <c r="M28" s="210"/>
    </row>
    <row r="29" spans="2:22" x14ac:dyDescent="0.35">
      <c r="M29" s="210"/>
    </row>
    <row r="30" spans="2:22" x14ac:dyDescent="0.35">
      <c r="M30" s="210"/>
    </row>
    <row r="31" spans="2:22" x14ac:dyDescent="0.35">
      <c r="M31" s="211"/>
    </row>
  </sheetData>
  <mergeCells count="70">
    <mergeCell ref="U15:U19"/>
    <mergeCell ref="L15:L19"/>
    <mergeCell ref="M1:U1"/>
    <mergeCell ref="M2:U2"/>
    <mergeCell ref="U8:U9"/>
    <mergeCell ref="O8:O9"/>
    <mergeCell ref="P8:P9"/>
    <mergeCell ref="R8:R9"/>
    <mergeCell ref="T8:T9"/>
    <mergeCell ref="B3:U3"/>
    <mergeCell ref="B4:U4"/>
    <mergeCell ref="B5:U5"/>
    <mergeCell ref="L8:L9"/>
    <mergeCell ref="M8:M9"/>
    <mergeCell ref="U6:U7"/>
    <mergeCell ref="B8:B21"/>
    <mergeCell ref="Q6:T6"/>
    <mergeCell ref="N8:N9"/>
    <mergeCell ref="C15:C19"/>
    <mergeCell ref="N17:N19"/>
    <mergeCell ref="U20:U21"/>
    <mergeCell ref="Q20:Q21"/>
    <mergeCell ref="O20:O21"/>
    <mergeCell ref="R20:R21"/>
    <mergeCell ref="T10:T14"/>
    <mergeCell ref="U10:U14"/>
    <mergeCell ref="Q15:Q19"/>
    <mergeCell ref="R15:R19"/>
    <mergeCell ref="S15:S19"/>
    <mergeCell ref="T15:T19"/>
    <mergeCell ref="B22:P22"/>
    <mergeCell ref="L10:L14"/>
    <mergeCell ref="K10:K14"/>
    <mergeCell ref="J12:J14"/>
    <mergeCell ref="I12:I14"/>
    <mergeCell ref="H12:H14"/>
    <mergeCell ref="G12:G14"/>
    <mergeCell ref="F12:F14"/>
    <mergeCell ref="E12:E14"/>
    <mergeCell ref="N20:N21"/>
    <mergeCell ref="S20:S21"/>
    <mergeCell ref="T20:T21"/>
    <mergeCell ref="P20:P21"/>
    <mergeCell ref="C20:C21"/>
    <mergeCell ref="K20:K21"/>
    <mergeCell ref="L20:L21"/>
    <mergeCell ref="M20:M21"/>
    <mergeCell ref="S10:S14"/>
    <mergeCell ref="B6:J6"/>
    <mergeCell ref="L6:P6"/>
    <mergeCell ref="E15:E17"/>
    <mergeCell ref="F15:F17"/>
    <mergeCell ref="Q10:Q14"/>
    <mergeCell ref="S8:S9"/>
    <mergeCell ref="Q8:Q9"/>
    <mergeCell ref="D12:D14"/>
    <mergeCell ref="G15:G17"/>
    <mergeCell ref="R10:R14"/>
    <mergeCell ref="I15:I17"/>
    <mergeCell ref="J15:J17"/>
    <mergeCell ref="K15:K19"/>
    <mergeCell ref="O17:O19"/>
    <mergeCell ref="P17:P19"/>
    <mergeCell ref="M10:M14"/>
    <mergeCell ref="C8:C9"/>
    <mergeCell ref="K8:K9"/>
    <mergeCell ref="D15:D17"/>
    <mergeCell ref="M15:M19"/>
    <mergeCell ref="H15:H17"/>
    <mergeCell ref="C10:C14"/>
  </mergeCells>
  <conditionalFormatting sqref="E9:H9">
    <cfRule type="expression" dxfId="2" priority="3" stopIfTrue="1">
      <formula>+IF((#REF!+#REF!+#REF!+#REF!+#REF!)&lt;&gt;$E9,1,0)</formula>
    </cfRule>
  </conditionalFormatting>
  <conditionalFormatting sqref="F11:H11">
    <cfRule type="expression" dxfId="1" priority="1" stopIfTrue="1">
      <formula>+IF((#REF!+#REF!+#REF!+#REF!+#REF!)&lt;&gt;$E11,1,0)</formula>
    </cfRule>
  </conditionalFormatting>
  <conditionalFormatting sqref="E10:H12">
    <cfRule type="expression" dxfId="0" priority="2" stopIfTrue="1">
      <formula>+IF((#REF!+#REF!+#REF!+#REF!+#REF!)&lt;&gt;$E10,1,0)</formula>
    </cfRule>
  </conditionalFormatting>
  <dataValidations count="6">
    <dataValidation type="list" allowBlank="1" showInputMessage="1" showErrorMessage="1" sqref="P8 P20 P11:P17">
      <formula1>#REF!</formula1>
    </dataValidation>
    <dataValidation type="list" allowBlank="1" showInputMessage="1" showErrorMessage="1" sqref="K15">
      <formula1>$B$26:$B$26</formula1>
    </dataValidation>
    <dataValidation type="list" allowBlank="1" showInputMessage="1" showErrorMessage="1" sqref="J8:J9 J15 J18:J21">
      <formula1>$N$25:$N$26</formula1>
    </dataValidation>
    <dataValidation type="list" allowBlank="1" showInputMessage="1" showErrorMessage="1" sqref="J10:J12">
      <formula1>$N$26:$N$26</formula1>
    </dataValidation>
    <dataValidation type="list" allowBlank="1" showInputMessage="1" showErrorMessage="1" sqref="P10">
      <formula1>#REF!</formula1>
    </dataValidation>
    <dataValidation type="list" allowBlank="1" showInputMessage="1" showErrorMessage="1" sqref="K10 K8">
      <formula1>#REF!</formula1>
    </dataValidation>
  </dataValidations>
  <pageMargins left="0.7" right="0.7" top="0.75" bottom="0.75" header="0.3" footer="0.3"/>
  <pageSetup orientation="portrait" r:id="rId1"/>
  <ignoredErrors>
    <ignoredError sqref="I8 Q10:R10 Q8:R8 Q20" unlockedFormula="1"/>
    <ignoredError sqref="Q15" formulaRange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AH52"/>
  <sheetViews>
    <sheetView topLeftCell="S1" zoomScale="55" zoomScaleNormal="55" zoomScalePageLayoutView="70" workbookViewId="0">
      <selection activeCell="T2" sqref="T2"/>
    </sheetView>
  </sheetViews>
  <sheetFormatPr baseColWidth="10" defaultColWidth="11.453125" defaultRowHeight="10.5" x14ac:dyDescent="0.25"/>
  <cols>
    <col min="1" max="1" width="4.7265625" style="1" hidden="1" customWidth="1"/>
    <col min="2" max="2" width="22.81640625" style="2" hidden="1" customWidth="1"/>
    <col min="3" max="5" width="22.7265625" style="2" hidden="1" customWidth="1"/>
    <col min="6" max="6" width="10.1796875" style="3" hidden="1" customWidth="1"/>
    <col min="7" max="7" width="7.1796875" style="2" hidden="1" customWidth="1"/>
    <col min="8" max="8" width="14.54296875" style="2" customWidth="1"/>
    <col min="9" max="9" width="46.7265625" style="2" customWidth="1"/>
    <col min="10" max="10" width="40.1796875" style="4" customWidth="1"/>
    <col min="11" max="11" width="29.81640625" style="5" customWidth="1"/>
    <col min="12" max="15" width="9.54296875" style="6" customWidth="1"/>
    <col min="16" max="16" width="15.26953125" style="7" customWidth="1"/>
    <col min="17" max="17" width="27.26953125" style="8" customWidth="1"/>
    <col min="18" max="18" width="37.1796875" style="8" customWidth="1"/>
    <col min="19" max="19" width="11.453125" style="6" customWidth="1"/>
    <col min="20" max="20" width="68.7265625" style="9" customWidth="1"/>
    <col min="21" max="21" width="21" style="9" customWidth="1"/>
    <col min="22" max="22" width="14" style="9" customWidth="1"/>
    <col min="23" max="23" width="40.26953125" style="9" customWidth="1"/>
    <col min="24" max="24" width="32.26953125" style="9" customWidth="1"/>
    <col min="25" max="25" width="30.26953125" style="9" customWidth="1"/>
    <col min="26" max="26" width="31.1796875" style="9" customWidth="1"/>
    <col min="27" max="27" width="25.81640625" style="9" customWidth="1"/>
    <col min="28" max="28" width="17.26953125" style="9" hidden="1" customWidth="1"/>
    <col min="29" max="29" width="30.453125" style="9" customWidth="1"/>
    <col min="30" max="31" width="11.453125" style="9" customWidth="1"/>
    <col min="32" max="32" width="18" style="9" bestFit="1" customWidth="1"/>
    <col min="33" max="33" width="11.453125" style="9"/>
    <col min="34" max="34" width="27.453125" style="9" bestFit="1" customWidth="1"/>
    <col min="35" max="16384" width="11.453125" style="9"/>
  </cols>
  <sheetData>
    <row r="2" spans="1:29" ht="36" customHeight="1" x14ac:dyDescent="0.25">
      <c r="Q2" s="180"/>
      <c r="U2" s="249" t="s">
        <v>0</v>
      </c>
      <c r="V2" s="249"/>
      <c r="W2" s="249"/>
      <c r="X2" s="249"/>
      <c r="Y2" s="249"/>
      <c r="Z2" s="249"/>
      <c r="AA2" s="249"/>
      <c r="AB2" s="249"/>
      <c r="AC2" s="249"/>
    </row>
    <row r="3" spans="1:29" ht="23.25" customHeight="1" x14ac:dyDescent="0.35">
      <c r="A3" s="10" t="s">
        <v>1</v>
      </c>
      <c r="F3" s="2"/>
      <c r="J3" s="8"/>
      <c r="K3" s="8"/>
      <c r="M3" s="11"/>
      <c r="Q3" s="31"/>
      <c r="T3" s="6"/>
      <c r="U3" s="250" t="s">
        <v>49</v>
      </c>
      <c r="V3" s="250"/>
      <c r="W3" s="250"/>
      <c r="X3" s="250"/>
      <c r="Y3" s="250"/>
      <c r="Z3" s="250"/>
      <c r="AA3" s="250"/>
      <c r="AB3" s="250"/>
      <c r="AC3" s="250"/>
    </row>
    <row r="4" spans="1:29" ht="23.25" customHeight="1" x14ac:dyDescent="0.35">
      <c r="A4" s="10"/>
      <c r="F4" s="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51" t="s">
        <v>49</v>
      </c>
      <c r="V4" s="251"/>
      <c r="W4" s="251"/>
      <c r="X4" s="251"/>
      <c r="Y4" s="251"/>
      <c r="Z4" s="251"/>
      <c r="AA4" s="251"/>
      <c r="AB4" s="251"/>
      <c r="AC4" s="251"/>
    </row>
    <row r="5" spans="1:29" ht="12" customHeight="1" x14ac:dyDescent="0.35">
      <c r="A5" s="10"/>
      <c r="F5" s="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ht="31.5" customHeight="1" x14ac:dyDescent="0.3">
      <c r="A6" s="18"/>
      <c r="B6" s="19"/>
      <c r="C6" s="19"/>
      <c r="D6" s="19"/>
      <c r="E6" s="19"/>
      <c r="F6" s="20"/>
      <c r="G6" s="19"/>
      <c r="H6" s="19"/>
      <c r="I6" s="242" t="s">
        <v>23</v>
      </c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92"/>
    </row>
    <row r="7" spans="1:29" ht="27" customHeight="1" x14ac:dyDescent="0.3">
      <c r="A7" s="18"/>
      <c r="B7" s="19"/>
      <c r="C7" s="19"/>
      <c r="D7" s="19"/>
      <c r="E7" s="19"/>
      <c r="F7" s="20"/>
      <c r="G7" s="19"/>
      <c r="H7" s="19"/>
      <c r="I7" s="242" t="s">
        <v>34</v>
      </c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</row>
    <row r="8" spans="1:29" ht="20.25" hidden="1" customHeight="1" x14ac:dyDescent="0.3">
      <c r="A8" s="18"/>
      <c r="B8" s="19"/>
      <c r="C8" s="19"/>
      <c r="D8" s="19"/>
      <c r="E8" s="19"/>
      <c r="F8" s="20"/>
      <c r="G8" s="19"/>
      <c r="H8" s="19"/>
      <c r="I8" s="93" t="s">
        <v>35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 spans="1:29" ht="20.25" hidden="1" customHeight="1" x14ac:dyDescent="0.3">
      <c r="A9" s="18"/>
      <c r="B9" s="19"/>
      <c r="C9" s="19"/>
      <c r="D9" s="19"/>
      <c r="E9" s="19"/>
      <c r="F9" s="20"/>
      <c r="G9" s="19"/>
      <c r="H9" s="19"/>
      <c r="I9" s="94" t="s">
        <v>3</v>
      </c>
      <c r="J9" s="94"/>
      <c r="K9" s="94"/>
      <c r="L9" s="94"/>
      <c r="M9" s="94"/>
      <c r="N9" s="94"/>
      <c r="O9" s="94"/>
      <c r="P9" s="94"/>
      <c r="Q9" s="94"/>
      <c r="R9" s="95"/>
      <c r="S9" s="94" t="s">
        <v>32</v>
      </c>
      <c r="T9" s="94"/>
      <c r="U9" s="94"/>
      <c r="V9" s="94"/>
      <c r="W9" s="94"/>
      <c r="X9" s="96" t="s">
        <v>4</v>
      </c>
      <c r="Y9" s="96"/>
      <c r="Z9" s="96"/>
      <c r="AA9" s="96"/>
      <c r="AB9" s="96"/>
      <c r="AC9" s="97" t="s">
        <v>40</v>
      </c>
    </row>
    <row r="10" spans="1:29" s="12" customFormat="1" ht="49.5" hidden="1" customHeight="1" x14ac:dyDescent="0.3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3" t="s">
        <v>5</v>
      </c>
      <c r="G10" s="24" t="s">
        <v>10</v>
      </c>
      <c r="H10" s="25"/>
      <c r="I10" s="98" t="s">
        <v>11</v>
      </c>
      <c r="J10" s="98" t="s">
        <v>12</v>
      </c>
      <c r="K10" s="98" t="s">
        <v>13</v>
      </c>
      <c r="L10" s="98" t="s">
        <v>24</v>
      </c>
      <c r="M10" s="98" t="s">
        <v>25</v>
      </c>
      <c r="N10" s="98" t="s">
        <v>26</v>
      </c>
      <c r="O10" s="98" t="s">
        <v>27</v>
      </c>
      <c r="P10" s="98" t="s">
        <v>28</v>
      </c>
      <c r="Q10" s="98" t="s">
        <v>29</v>
      </c>
      <c r="R10" s="99" t="s">
        <v>47</v>
      </c>
      <c r="S10" s="100" t="s">
        <v>14</v>
      </c>
      <c r="T10" s="100" t="s">
        <v>31</v>
      </c>
      <c r="U10" s="100" t="s">
        <v>15</v>
      </c>
      <c r="V10" s="100" t="s">
        <v>16</v>
      </c>
      <c r="W10" s="100"/>
      <c r="X10" s="100" t="s">
        <v>17</v>
      </c>
      <c r="Y10" s="100" t="s">
        <v>18</v>
      </c>
      <c r="Z10" s="100" t="s">
        <v>19</v>
      </c>
      <c r="AA10" s="100" t="s">
        <v>20</v>
      </c>
      <c r="AB10" s="100" t="s">
        <v>21</v>
      </c>
      <c r="AC10" s="97"/>
    </row>
    <row r="11" spans="1:29" s="16" customFormat="1" ht="77.25" hidden="1" customHeight="1" x14ac:dyDescent="0.25">
      <c r="A11" s="29"/>
      <c r="B11" s="30"/>
      <c r="C11" s="30"/>
      <c r="D11" s="30"/>
      <c r="E11" s="27"/>
      <c r="F11" s="29"/>
      <c r="G11" s="27"/>
      <c r="H11" s="27"/>
      <c r="I11" s="101">
        <v>7</v>
      </c>
      <c r="J11" s="102" t="s">
        <v>41</v>
      </c>
      <c r="K11" s="102" t="s">
        <v>42</v>
      </c>
      <c r="L11" s="101">
        <v>1</v>
      </c>
      <c r="M11" s="101">
        <v>0</v>
      </c>
      <c r="N11" s="101">
        <v>1</v>
      </c>
      <c r="O11" s="101">
        <v>0</v>
      </c>
      <c r="P11" s="103">
        <f>SUM(L11:O11)</f>
        <v>2</v>
      </c>
      <c r="Q11" s="104" t="s">
        <v>22</v>
      </c>
      <c r="R11" s="104" t="s">
        <v>30</v>
      </c>
      <c r="S11" s="103">
        <v>1</v>
      </c>
      <c r="T11" s="104" t="s">
        <v>41</v>
      </c>
      <c r="U11" s="104" t="s">
        <v>44</v>
      </c>
      <c r="V11" s="105">
        <v>1</v>
      </c>
      <c r="W11" s="105"/>
      <c r="X11" s="106">
        <f>SUM(Y11:AB11)</f>
        <v>0</v>
      </c>
      <c r="Y11" s="107">
        <v>0</v>
      </c>
      <c r="Z11" s="107"/>
      <c r="AA11" s="108"/>
      <c r="AB11" s="108"/>
      <c r="AC11" s="107">
        <v>0</v>
      </c>
    </row>
    <row r="12" spans="1:29" ht="27" customHeight="1" x14ac:dyDescent="0.3">
      <c r="A12" s="18"/>
      <c r="B12" s="19"/>
      <c r="C12" s="19"/>
      <c r="D12" s="19"/>
      <c r="E12" s="19"/>
      <c r="F12" s="20"/>
      <c r="G12" s="19"/>
      <c r="H12" s="19"/>
      <c r="I12" s="242" t="s">
        <v>36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</row>
    <row r="13" spans="1:29" ht="35.25" customHeight="1" x14ac:dyDescent="0.3">
      <c r="A13" s="18"/>
      <c r="B13" s="19"/>
      <c r="C13" s="19"/>
      <c r="D13" s="19"/>
      <c r="E13" s="19"/>
      <c r="F13" s="20"/>
      <c r="G13" s="19"/>
      <c r="H13" s="19"/>
      <c r="I13" s="237" t="s">
        <v>3</v>
      </c>
      <c r="J13" s="237"/>
      <c r="K13" s="237"/>
      <c r="L13" s="237"/>
      <c r="M13" s="237"/>
      <c r="N13" s="237"/>
      <c r="O13" s="237"/>
      <c r="P13" s="237"/>
      <c r="Q13" s="237"/>
      <c r="R13" s="237" t="s">
        <v>72</v>
      </c>
      <c r="S13" s="237"/>
      <c r="T13" s="237"/>
      <c r="U13" s="237"/>
      <c r="V13" s="237"/>
      <c r="W13" s="237"/>
      <c r="X13" s="243" t="s">
        <v>4</v>
      </c>
      <c r="Y13" s="243"/>
      <c r="Z13" s="243"/>
      <c r="AA13" s="243"/>
      <c r="AB13" s="243"/>
      <c r="AC13" s="244" t="s">
        <v>40</v>
      </c>
    </row>
    <row r="14" spans="1:29" s="12" customFormat="1" ht="64.5" customHeight="1" x14ac:dyDescent="0.35">
      <c r="A14" s="22" t="s">
        <v>5</v>
      </c>
      <c r="B14" s="22" t="s">
        <v>6</v>
      </c>
      <c r="C14" s="22" t="s">
        <v>7</v>
      </c>
      <c r="D14" s="22" t="s">
        <v>8</v>
      </c>
      <c r="E14" s="22" t="s">
        <v>9</v>
      </c>
      <c r="F14" s="23" t="s">
        <v>5</v>
      </c>
      <c r="G14" s="24" t="s">
        <v>10</v>
      </c>
      <c r="H14" s="49"/>
      <c r="I14" s="109" t="s">
        <v>51</v>
      </c>
      <c r="J14" s="109" t="s">
        <v>12</v>
      </c>
      <c r="K14" s="109" t="s">
        <v>52</v>
      </c>
      <c r="L14" s="109" t="s">
        <v>24</v>
      </c>
      <c r="M14" s="109" t="s">
        <v>25</v>
      </c>
      <c r="N14" s="109" t="s">
        <v>26</v>
      </c>
      <c r="O14" s="109" t="s">
        <v>27</v>
      </c>
      <c r="P14" s="109" t="s">
        <v>28</v>
      </c>
      <c r="Q14" s="109" t="s">
        <v>29</v>
      </c>
      <c r="R14" s="109" t="s">
        <v>47</v>
      </c>
      <c r="S14" s="110" t="s">
        <v>14</v>
      </c>
      <c r="T14" s="110" t="s">
        <v>79</v>
      </c>
      <c r="U14" s="110" t="s">
        <v>15</v>
      </c>
      <c r="V14" s="110" t="s">
        <v>16</v>
      </c>
      <c r="W14" s="109" t="s">
        <v>48</v>
      </c>
      <c r="X14" s="110" t="s">
        <v>17</v>
      </c>
      <c r="Y14" s="110" t="s">
        <v>18</v>
      </c>
      <c r="Z14" s="110" t="s">
        <v>19</v>
      </c>
      <c r="AA14" s="199" t="s">
        <v>361</v>
      </c>
      <c r="AB14" s="110" t="s">
        <v>21</v>
      </c>
      <c r="AC14" s="244"/>
    </row>
    <row r="15" spans="1:29" s="16" customFormat="1" ht="79.5" customHeight="1" x14ac:dyDescent="0.25">
      <c r="A15" s="29"/>
      <c r="B15" s="30"/>
      <c r="C15" s="30"/>
      <c r="D15" s="30"/>
      <c r="E15" s="27"/>
      <c r="F15" s="29"/>
      <c r="G15" s="27"/>
      <c r="H15" s="32"/>
      <c r="I15" s="241" t="s">
        <v>43</v>
      </c>
      <c r="J15" s="247" t="s">
        <v>50</v>
      </c>
      <c r="K15" s="247" t="s">
        <v>71</v>
      </c>
      <c r="L15" s="248">
        <v>3</v>
      </c>
      <c r="M15" s="248">
        <v>3</v>
      </c>
      <c r="N15" s="248">
        <v>3</v>
      </c>
      <c r="O15" s="248">
        <v>3</v>
      </c>
      <c r="P15" s="245">
        <f>SUM(L15:O15)</f>
        <v>12</v>
      </c>
      <c r="Q15" s="236" t="s">
        <v>22</v>
      </c>
      <c r="R15" s="234" t="s">
        <v>30</v>
      </c>
      <c r="S15" s="103">
        <v>1</v>
      </c>
      <c r="T15" s="104" t="s">
        <v>92</v>
      </c>
      <c r="U15" s="112" t="s">
        <v>93</v>
      </c>
      <c r="V15" s="114">
        <v>1</v>
      </c>
      <c r="W15" s="115" t="s">
        <v>74</v>
      </c>
      <c r="X15" s="116">
        <f>+Y15+Z15+AA15</f>
        <v>57001591</v>
      </c>
      <c r="Y15" s="107">
        <f>75000000-17998409</f>
        <v>57001591</v>
      </c>
      <c r="Z15" s="107">
        <v>0</v>
      </c>
      <c r="AA15" s="107">
        <v>0</v>
      </c>
      <c r="AB15" s="108"/>
      <c r="AC15" s="107">
        <v>0</v>
      </c>
    </row>
    <row r="16" spans="1:29" s="16" customFormat="1" ht="163.5" customHeight="1" x14ac:dyDescent="0.25">
      <c r="A16" s="29"/>
      <c r="B16" s="30"/>
      <c r="C16" s="30"/>
      <c r="D16" s="30"/>
      <c r="E16" s="27"/>
      <c r="F16" s="29"/>
      <c r="G16" s="27"/>
      <c r="H16" s="32"/>
      <c r="I16" s="241"/>
      <c r="J16" s="247"/>
      <c r="K16" s="247"/>
      <c r="L16" s="248"/>
      <c r="M16" s="248"/>
      <c r="N16" s="248"/>
      <c r="O16" s="248"/>
      <c r="P16" s="245"/>
      <c r="Q16" s="236"/>
      <c r="R16" s="234"/>
      <c r="S16" s="103">
        <v>2</v>
      </c>
      <c r="T16" s="104" t="s">
        <v>100</v>
      </c>
      <c r="U16" s="112" t="s">
        <v>94</v>
      </c>
      <c r="V16" s="114">
        <v>12</v>
      </c>
      <c r="W16" s="115" t="s">
        <v>80</v>
      </c>
      <c r="X16" s="116">
        <f>+Y16+Z16+AA16</f>
        <v>48000000</v>
      </c>
      <c r="Y16" s="107">
        <v>48000000</v>
      </c>
      <c r="Z16" s="107">
        <v>0</v>
      </c>
      <c r="AA16" s="107">
        <v>0</v>
      </c>
      <c r="AB16" s="108"/>
      <c r="AC16" s="107">
        <v>0</v>
      </c>
    </row>
    <row r="17" spans="1:29" s="16" customFormat="1" ht="122.25" customHeight="1" x14ac:dyDescent="0.25">
      <c r="A17" s="29"/>
      <c r="B17" s="30"/>
      <c r="C17" s="30"/>
      <c r="D17" s="30"/>
      <c r="E17" s="27"/>
      <c r="F17" s="29"/>
      <c r="G17" s="27"/>
      <c r="H17" s="32"/>
      <c r="I17" s="241"/>
      <c r="J17" s="247"/>
      <c r="K17" s="247"/>
      <c r="L17" s="248"/>
      <c r="M17" s="248"/>
      <c r="N17" s="248"/>
      <c r="O17" s="248"/>
      <c r="P17" s="245"/>
      <c r="Q17" s="236"/>
      <c r="R17" s="234"/>
      <c r="S17" s="103">
        <v>3</v>
      </c>
      <c r="T17" s="104" t="s">
        <v>95</v>
      </c>
      <c r="U17" s="104" t="s">
        <v>101</v>
      </c>
      <c r="V17" s="114">
        <v>1</v>
      </c>
      <c r="W17" s="115" t="s">
        <v>74</v>
      </c>
      <c r="X17" s="116">
        <f>Y17+Z17+AA17</f>
        <v>30000000</v>
      </c>
      <c r="Y17" s="107">
        <v>30000000</v>
      </c>
      <c r="Z17" s="107">
        <v>0</v>
      </c>
      <c r="AA17" s="107">
        <v>0</v>
      </c>
      <c r="AB17" s="108"/>
      <c r="AC17" s="107">
        <v>0</v>
      </c>
    </row>
    <row r="18" spans="1:29" s="16" customFormat="1" ht="91.5" customHeight="1" x14ac:dyDescent="0.25">
      <c r="A18" s="29"/>
      <c r="B18" s="30"/>
      <c r="C18" s="30"/>
      <c r="D18" s="30"/>
      <c r="E18" s="27"/>
      <c r="F18" s="29"/>
      <c r="G18" s="27"/>
      <c r="H18" s="32"/>
      <c r="I18" s="241"/>
      <c r="J18" s="247"/>
      <c r="K18" s="247"/>
      <c r="L18" s="248"/>
      <c r="M18" s="248"/>
      <c r="N18" s="248"/>
      <c r="O18" s="248"/>
      <c r="P18" s="245"/>
      <c r="Q18" s="236"/>
      <c r="R18" s="234"/>
      <c r="S18" s="103">
        <v>4</v>
      </c>
      <c r="T18" s="104" t="s">
        <v>97</v>
      </c>
      <c r="U18" s="104" t="s">
        <v>101</v>
      </c>
      <c r="V18" s="114">
        <v>1</v>
      </c>
      <c r="W18" s="115" t="s">
        <v>80</v>
      </c>
      <c r="X18" s="116">
        <f>Y18+Z18+AA18</f>
        <v>72700000</v>
      </c>
      <c r="Y18" s="107">
        <f>80500000-17800000+10000000</f>
        <v>72700000</v>
      </c>
      <c r="Z18" s="107">
        <v>0</v>
      </c>
      <c r="AA18" s="107">
        <v>0</v>
      </c>
      <c r="AB18" s="108"/>
      <c r="AC18" s="107">
        <v>0</v>
      </c>
    </row>
    <row r="19" spans="1:29" s="16" customFormat="1" ht="105.75" customHeight="1" x14ac:dyDescent="0.25">
      <c r="A19" s="29"/>
      <c r="B19" s="30"/>
      <c r="C19" s="30"/>
      <c r="D19" s="30"/>
      <c r="E19" s="27"/>
      <c r="F19" s="29"/>
      <c r="G19" s="27"/>
      <c r="H19" s="32"/>
      <c r="I19" s="241"/>
      <c r="J19" s="247"/>
      <c r="K19" s="247"/>
      <c r="L19" s="248"/>
      <c r="M19" s="248"/>
      <c r="N19" s="248"/>
      <c r="O19" s="248"/>
      <c r="P19" s="245"/>
      <c r="Q19" s="236"/>
      <c r="R19" s="234"/>
      <c r="S19" s="103">
        <v>5</v>
      </c>
      <c r="T19" s="104" t="s">
        <v>96</v>
      </c>
      <c r="U19" s="104" t="s">
        <v>101</v>
      </c>
      <c r="V19" s="114">
        <v>1</v>
      </c>
      <c r="W19" s="115" t="s">
        <v>80</v>
      </c>
      <c r="X19" s="116">
        <f>Y19+Z19+AA19</f>
        <v>30000000</v>
      </c>
      <c r="Y19" s="107">
        <v>30000000</v>
      </c>
      <c r="Z19" s="107">
        <v>0</v>
      </c>
      <c r="AA19" s="107">
        <v>0</v>
      </c>
      <c r="AB19" s="108"/>
      <c r="AC19" s="107">
        <v>0</v>
      </c>
    </row>
    <row r="20" spans="1:29" s="16" customFormat="1" ht="37.5" customHeight="1" x14ac:dyDescent="0.25">
      <c r="A20" s="29"/>
      <c r="B20" s="30"/>
      <c r="C20" s="30"/>
      <c r="D20" s="30"/>
      <c r="E20" s="27"/>
      <c r="F20" s="29"/>
      <c r="G20" s="27"/>
      <c r="H20" s="50"/>
      <c r="I20" s="246" t="s">
        <v>64</v>
      </c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92"/>
    </row>
    <row r="21" spans="1:29" ht="20.25" customHeight="1" x14ac:dyDescent="0.3">
      <c r="A21" s="18"/>
      <c r="B21" s="19"/>
      <c r="C21" s="19"/>
      <c r="D21" s="19"/>
      <c r="E21" s="19"/>
      <c r="F21" s="20"/>
      <c r="G21" s="19"/>
      <c r="H21" s="51"/>
      <c r="I21" s="246" t="s">
        <v>60</v>
      </c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</row>
    <row r="22" spans="1:29" ht="20.25" customHeight="1" x14ac:dyDescent="0.3">
      <c r="A22" s="18"/>
      <c r="B22" s="19"/>
      <c r="C22" s="19"/>
      <c r="D22" s="19"/>
      <c r="E22" s="19"/>
      <c r="F22" s="20"/>
      <c r="G22" s="19"/>
      <c r="H22" s="51"/>
      <c r="I22" s="246" t="s">
        <v>37</v>
      </c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</row>
    <row r="23" spans="1:29" ht="20.25" customHeight="1" x14ac:dyDescent="0.3">
      <c r="A23" s="18"/>
      <c r="B23" s="19"/>
      <c r="C23" s="19"/>
      <c r="D23" s="19"/>
      <c r="E23" s="19"/>
      <c r="F23" s="20"/>
      <c r="G23" s="19"/>
      <c r="H23" s="51"/>
      <c r="I23" s="237" t="s">
        <v>3</v>
      </c>
      <c r="J23" s="237"/>
      <c r="K23" s="237"/>
      <c r="L23" s="237"/>
      <c r="M23" s="237"/>
      <c r="N23" s="237"/>
      <c r="O23" s="237"/>
      <c r="P23" s="237"/>
      <c r="Q23" s="237"/>
      <c r="R23" s="237" t="s">
        <v>72</v>
      </c>
      <c r="S23" s="237"/>
      <c r="T23" s="237"/>
      <c r="U23" s="237"/>
      <c r="V23" s="237"/>
      <c r="W23" s="237"/>
      <c r="X23" s="243" t="s">
        <v>4</v>
      </c>
      <c r="Y23" s="243"/>
      <c r="Z23" s="243"/>
      <c r="AA23" s="243"/>
      <c r="AB23" s="243"/>
      <c r="AC23" s="244" t="s">
        <v>40</v>
      </c>
    </row>
    <row r="24" spans="1:29" ht="78.75" customHeight="1" x14ac:dyDescent="0.3">
      <c r="A24" s="18"/>
      <c r="B24" s="19"/>
      <c r="C24" s="19"/>
      <c r="D24" s="19"/>
      <c r="E24" s="19"/>
      <c r="F24" s="20"/>
      <c r="G24" s="19"/>
      <c r="H24" s="52"/>
      <c r="I24" s="109" t="s">
        <v>61</v>
      </c>
      <c r="J24" s="109" t="s">
        <v>12</v>
      </c>
      <c r="K24" s="109" t="s">
        <v>62</v>
      </c>
      <c r="L24" s="109" t="s">
        <v>24</v>
      </c>
      <c r="M24" s="109" t="s">
        <v>25</v>
      </c>
      <c r="N24" s="109" t="s">
        <v>26</v>
      </c>
      <c r="O24" s="109" t="s">
        <v>27</v>
      </c>
      <c r="P24" s="109" t="s">
        <v>28</v>
      </c>
      <c r="Q24" s="109" t="s">
        <v>63</v>
      </c>
      <c r="R24" s="109" t="s">
        <v>47</v>
      </c>
      <c r="S24" s="110" t="s">
        <v>14</v>
      </c>
      <c r="T24" s="110" t="s">
        <v>79</v>
      </c>
      <c r="U24" s="110" t="s">
        <v>15</v>
      </c>
      <c r="V24" s="110" t="s">
        <v>16</v>
      </c>
      <c r="W24" s="109" t="s">
        <v>48</v>
      </c>
      <c r="X24" s="110" t="s">
        <v>17</v>
      </c>
      <c r="Y24" s="110" t="s">
        <v>18</v>
      </c>
      <c r="Z24" s="110" t="s">
        <v>19</v>
      </c>
      <c r="AA24" s="110" t="s">
        <v>20</v>
      </c>
      <c r="AB24" s="117"/>
      <c r="AC24" s="244"/>
    </row>
    <row r="25" spans="1:29" ht="173.25" customHeight="1" x14ac:dyDescent="0.3">
      <c r="A25" s="18"/>
      <c r="B25" s="19"/>
      <c r="C25" s="19"/>
      <c r="D25" s="19"/>
      <c r="E25" s="19"/>
      <c r="F25" s="20"/>
      <c r="G25" s="19"/>
      <c r="H25" s="28"/>
      <c r="I25" s="111" t="s">
        <v>81</v>
      </c>
      <c r="J25" s="102" t="s">
        <v>82</v>
      </c>
      <c r="K25" s="102" t="s">
        <v>82</v>
      </c>
      <c r="L25" s="118">
        <v>0</v>
      </c>
      <c r="M25" s="118">
        <v>1</v>
      </c>
      <c r="N25" s="118">
        <v>2</v>
      </c>
      <c r="O25" s="118">
        <v>3</v>
      </c>
      <c r="P25" s="103">
        <v>6</v>
      </c>
      <c r="Q25" s="112" t="s">
        <v>22</v>
      </c>
      <c r="R25" s="113" t="s">
        <v>30</v>
      </c>
      <c r="S25" s="119">
        <v>6</v>
      </c>
      <c r="T25" s="215" t="s">
        <v>380</v>
      </c>
      <c r="U25" s="104" t="s">
        <v>102</v>
      </c>
      <c r="V25" s="114">
        <v>1</v>
      </c>
      <c r="W25" s="115" t="s">
        <v>73</v>
      </c>
      <c r="X25" s="106">
        <f>Y25+Z25+AA25</f>
        <v>210000000</v>
      </c>
      <c r="Y25" s="107">
        <v>210000000</v>
      </c>
      <c r="Z25" s="107">
        <v>0</v>
      </c>
      <c r="AA25" s="107">
        <v>0</v>
      </c>
      <c r="AB25" s="108"/>
      <c r="AC25" s="107">
        <v>0</v>
      </c>
    </row>
    <row r="26" spans="1:29" ht="35.25" customHeight="1" x14ac:dyDescent="0.3">
      <c r="A26" s="18"/>
      <c r="B26" s="19"/>
      <c r="C26" s="19"/>
      <c r="D26" s="19"/>
      <c r="E26" s="19"/>
      <c r="F26" s="20"/>
      <c r="G26" s="19"/>
      <c r="H26" s="28"/>
      <c r="I26" s="242" t="s">
        <v>64</v>
      </c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</row>
    <row r="27" spans="1:29" ht="29.25" customHeight="1" x14ac:dyDescent="0.3">
      <c r="A27" s="18"/>
      <c r="B27" s="19"/>
      <c r="C27" s="19"/>
      <c r="D27" s="19"/>
      <c r="E27" s="19"/>
      <c r="F27" s="20"/>
      <c r="G27" s="19"/>
      <c r="H27" s="28"/>
      <c r="I27" s="242" t="s">
        <v>65</v>
      </c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</row>
    <row r="28" spans="1:29" ht="20.25" customHeight="1" x14ac:dyDescent="0.3">
      <c r="A28" s="18"/>
      <c r="B28" s="19"/>
      <c r="C28" s="19"/>
      <c r="D28" s="19"/>
      <c r="E28" s="19"/>
      <c r="F28" s="20"/>
      <c r="G28" s="19"/>
      <c r="H28" s="28"/>
      <c r="I28" s="242" t="s">
        <v>66</v>
      </c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</row>
    <row r="29" spans="1:29" ht="20.25" customHeight="1" x14ac:dyDescent="0.3">
      <c r="A29" s="18"/>
      <c r="B29" s="19"/>
      <c r="C29" s="19"/>
      <c r="D29" s="19"/>
      <c r="E29" s="19"/>
      <c r="F29" s="20"/>
      <c r="G29" s="19"/>
      <c r="H29" s="28"/>
      <c r="I29" s="237" t="s">
        <v>3</v>
      </c>
      <c r="J29" s="237"/>
      <c r="K29" s="237"/>
      <c r="L29" s="237"/>
      <c r="M29" s="237"/>
      <c r="N29" s="237"/>
      <c r="O29" s="237"/>
      <c r="P29" s="237"/>
      <c r="Q29" s="237"/>
      <c r="R29" s="120"/>
      <c r="S29" s="237" t="s">
        <v>72</v>
      </c>
      <c r="T29" s="237"/>
      <c r="U29" s="237"/>
      <c r="V29" s="237"/>
      <c r="W29" s="237"/>
      <c r="X29" s="243" t="s">
        <v>4</v>
      </c>
      <c r="Y29" s="243"/>
      <c r="Z29" s="243"/>
      <c r="AA29" s="243"/>
      <c r="AB29" s="243"/>
      <c r="AC29" s="244" t="s">
        <v>40</v>
      </c>
    </row>
    <row r="30" spans="1:29" s="12" customFormat="1" ht="56.25" customHeight="1" x14ac:dyDescent="0.35">
      <c r="A30" s="22" t="s">
        <v>5</v>
      </c>
      <c r="B30" s="22" t="s">
        <v>6</v>
      </c>
      <c r="C30" s="22" t="s">
        <v>7</v>
      </c>
      <c r="D30" s="22" t="s">
        <v>8</v>
      </c>
      <c r="E30" s="22" t="s">
        <v>9</v>
      </c>
      <c r="F30" s="23" t="s">
        <v>5</v>
      </c>
      <c r="G30" s="24" t="s">
        <v>10</v>
      </c>
      <c r="H30" s="25"/>
      <c r="I30" s="109" t="s">
        <v>51</v>
      </c>
      <c r="J30" s="109" t="s">
        <v>12</v>
      </c>
      <c r="K30" s="109" t="s">
        <v>52</v>
      </c>
      <c r="L30" s="109" t="s">
        <v>24</v>
      </c>
      <c r="M30" s="109" t="s">
        <v>25</v>
      </c>
      <c r="N30" s="109" t="s">
        <v>26</v>
      </c>
      <c r="O30" s="109" t="s">
        <v>27</v>
      </c>
      <c r="P30" s="109" t="s">
        <v>28</v>
      </c>
      <c r="Q30" s="109" t="s">
        <v>29</v>
      </c>
      <c r="R30" s="109" t="s">
        <v>47</v>
      </c>
      <c r="S30" s="110" t="s">
        <v>14</v>
      </c>
      <c r="T30" s="110" t="s">
        <v>79</v>
      </c>
      <c r="U30" s="110" t="s">
        <v>15</v>
      </c>
      <c r="V30" s="110" t="s">
        <v>16</v>
      </c>
      <c r="W30" s="109" t="s">
        <v>48</v>
      </c>
      <c r="X30" s="110" t="s">
        <v>17</v>
      </c>
      <c r="Y30" s="110" t="s">
        <v>18</v>
      </c>
      <c r="Z30" s="110" t="s">
        <v>19</v>
      </c>
      <c r="AA30" s="110" t="s">
        <v>20</v>
      </c>
      <c r="AB30" s="110" t="s">
        <v>21</v>
      </c>
      <c r="AC30" s="244"/>
    </row>
    <row r="31" spans="1:29" s="15" customFormat="1" ht="144.75" customHeight="1" x14ac:dyDescent="0.35">
      <c r="A31" s="33">
        <v>28</v>
      </c>
      <c r="B31" s="34" t="s">
        <v>83</v>
      </c>
      <c r="C31" s="34" t="s">
        <v>84</v>
      </c>
      <c r="D31" s="35" t="s">
        <v>85</v>
      </c>
      <c r="E31" s="36" t="s">
        <v>86</v>
      </c>
      <c r="F31" s="33">
        <v>11</v>
      </c>
      <c r="G31" s="37" t="s">
        <v>87</v>
      </c>
      <c r="H31" s="27"/>
      <c r="I31" s="121" t="s">
        <v>88</v>
      </c>
      <c r="J31" s="102" t="s">
        <v>89</v>
      </c>
      <c r="K31" s="122" t="s">
        <v>90</v>
      </c>
      <c r="L31" s="118">
        <v>12000</v>
      </c>
      <c r="M31" s="118">
        <v>12000</v>
      </c>
      <c r="N31" s="118">
        <v>12000</v>
      </c>
      <c r="O31" s="118">
        <v>12000</v>
      </c>
      <c r="P31" s="103">
        <v>12000</v>
      </c>
      <c r="Q31" s="104" t="s">
        <v>22</v>
      </c>
      <c r="R31" s="104" t="s">
        <v>30</v>
      </c>
      <c r="S31" s="103">
        <v>7</v>
      </c>
      <c r="T31" s="122" t="s">
        <v>98</v>
      </c>
      <c r="U31" s="122" t="s">
        <v>103</v>
      </c>
      <c r="V31" s="114">
        <v>12000</v>
      </c>
      <c r="W31" s="122" t="s">
        <v>91</v>
      </c>
      <c r="X31" s="123">
        <f>Y31+Z31+AA31</f>
        <v>164500000</v>
      </c>
      <c r="Y31" s="124">
        <f>74500000+90000000</f>
        <v>164500000</v>
      </c>
      <c r="Z31" s="125">
        <v>0</v>
      </c>
      <c r="AA31" s="125">
        <v>0</v>
      </c>
      <c r="AB31" s="124"/>
      <c r="AC31" s="124">
        <v>47383335</v>
      </c>
    </row>
    <row r="32" spans="1:29" s="15" customFormat="1" ht="126" x14ac:dyDescent="0.35">
      <c r="A32" s="29"/>
      <c r="B32" s="30"/>
      <c r="C32" s="30"/>
      <c r="D32" s="27"/>
      <c r="E32" s="27"/>
      <c r="F32" s="29"/>
      <c r="G32" s="27"/>
      <c r="H32" s="27"/>
      <c r="I32" s="121" t="s">
        <v>58</v>
      </c>
      <c r="J32" s="102" t="s">
        <v>59</v>
      </c>
      <c r="K32" s="122" t="s">
        <v>68</v>
      </c>
      <c r="L32" s="118">
        <v>0</v>
      </c>
      <c r="M32" s="118">
        <v>2</v>
      </c>
      <c r="N32" s="118">
        <v>6</v>
      </c>
      <c r="O32" s="118">
        <v>12</v>
      </c>
      <c r="P32" s="103">
        <f>SUM(L32:O32)</f>
        <v>20</v>
      </c>
      <c r="Q32" s="104" t="s">
        <v>22</v>
      </c>
      <c r="R32" s="104" t="s">
        <v>30</v>
      </c>
      <c r="S32" s="103">
        <v>8</v>
      </c>
      <c r="T32" s="122" t="s">
        <v>77</v>
      </c>
      <c r="U32" s="122" t="s">
        <v>68</v>
      </c>
      <c r="V32" s="114">
        <v>2</v>
      </c>
      <c r="W32" s="122" t="s">
        <v>78</v>
      </c>
      <c r="X32" s="126">
        <f>Y32+Z32+AA32</f>
        <v>0</v>
      </c>
      <c r="Y32" s="125">
        <v>0</v>
      </c>
      <c r="Z32" s="125">
        <v>0</v>
      </c>
      <c r="AA32" s="125">
        <v>0</v>
      </c>
      <c r="AB32" s="124"/>
      <c r="AC32" s="125">
        <v>0</v>
      </c>
    </row>
    <row r="33" spans="1:34" ht="32.25" customHeight="1" x14ac:dyDescent="0.3">
      <c r="A33" s="18"/>
      <c r="B33" s="19"/>
      <c r="C33" s="19"/>
      <c r="D33" s="19"/>
      <c r="E33" s="19"/>
      <c r="F33" s="20"/>
      <c r="G33" s="19"/>
      <c r="H33" s="19"/>
      <c r="I33" s="242" t="s">
        <v>38</v>
      </c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</row>
    <row r="34" spans="1:34" ht="28.5" customHeight="1" x14ac:dyDescent="0.3">
      <c r="A34" s="18"/>
      <c r="B34" s="19"/>
      <c r="C34" s="19"/>
      <c r="D34" s="19"/>
      <c r="E34" s="19"/>
      <c r="F34" s="20"/>
      <c r="G34" s="19"/>
      <c r="H34" s="19"/>
      <c r="I34" s="237" t="s">
        <v>3</v>
      </c>
      <c r="J34" s="237"/>
      <c r="K34" s="237"/>
      <c r="L34" s="237"/>
      <c r="M34" s="237"/>
      <c r="N34" s="237"/>
      <c r="O34" s="237"/>
      <c r="P34" s="237"/>
      <c r="Q34" s="237"/>
      <c r="R34" s="120"/>
      <c r="S34" s="237" t="s">
        <v>72</v>
      </c>
      <c r="T34" s="237"/>
      <c r="U34" s="237"/>
      <c r="V34" s="237"/>
      <c r="W34" s="237"/>
      <c r="X34" s="243" t="s">
        <v>4</v>
      </c>
      <c r="Y34" s="243"/>
      <c r="Z34" s="243"/>
      <c r="AA34" s="243"/>
      <c r="AB34" s="243"/>
      <c r="AC34" s="244" t="s">
        <v>40</v>
      </c>
    </row>
    <row r="35" spans="1:34" s="12" customFormat="1" ht="88.5" customHeight="1" x14ac:dyDescent="0.35">
      <c r="A35" s="22" t="s">
        <v>5</v>
      </c>
      <c r="B35" s="22" t="s">
        <v>6</v>
      </c>
      <c r="C35" s="22" t="s">
        <v>7</v>
      </c>
      <c r="D35" s="22" t="s">
        <v>8</v>
      </c>
      <c r="E35" s="22" t="s">
        <v>9</v>
      </c>
      <c r="F35" s="23" t="s">
        <v>5</v>
      </c>
      <c r="G35" s="24" t="s">
        <v>10</v>
      </c>
      <c r="H35" s="25"/>
      <c r="I35" s="109" t="s">
        <v>51</v>
      </c>
      <c r="J35" s="109" t="s">
        <v>12</v>
      </c>
      <c r="K35" s="109" t="s">
        <v>52</v>
      </c>
      <c r="L35" s="109" t="s">
        <v>24</v>
      </c>
      <c r="M35" s="109" t="s">
        <v>25</v>
      </c>
      <c r="N35" s="109" t="s">
        <v>26</v>
      </c>
      <c r="O35" s="109" t="s">
        <v>27</v>
      </c>
      <c r="P35" s="109" t="s">
        <v>28</v>
      </c>
      <c r="Q35" s="109" t="s">
        <v>29</v>
      </c>
      <c r="R35" s="109" t="s">
        <v>47</v>
      </c>
      <c r="S35" s="110" t="s">
        <v>14</v>
      </c>
      <c r="T35" s="110" t="s">
        <v>79</v>
      </c>
      <c r="U35" s="110" t="s">
        <v>15</v>
      </c>
      <c r="V35" s="110" t="s">
        <v>16</v>
      </c>
      <c r="W35" s="109" t="s">
        <v>48</v>
      </c>
      <c r="X35" s="110" t="s">
        <v>17</v>
      </c>
      <c r="Y35" s="110" t="s">
        <v>18</v>
      </c>
      <c r="Z35" s="110" t="s">
        <v>19</v>
      </c>
      <c r="AA35" s="110" t="s">
        <v>20</v>
      </c>
      <c r="AB35" s="110" t="s">
        <v>21</v>
      </c>
      <c r="AC35" s="244"/>
    </row>
    <row r="36" spans="1:34" s="15" customFormat="1" ht="90" customHeight="1" x14ac:dyDescent="0.35">
      <c r="A36" s="29"/>
      <c r="B36" s="30"/>
      <c r="C36" s="30"/>
      <c r="D36" s="27"/>
      <c r="E36" s="27"/>
      <c r="F36" s="29"/>
      <c r="G36" s="27"/>
      <c r="H36" s="27"/>
      <c r="I36" s="241" t="s">
        <v>33</v>
      </c>
      <c r="J36" s="234" t="s">
        <v>57</v>
      </c>
      <c r="K36" s="234" t="s">
        <v>69</v>
      </c>
      <c r="L36" s="235">
        <v>180</v>
      </c>
      <c r="M36" s="235">
        <v>200</v>
      </c>
      <c r="N36" s="235">
        <v>220</v>
      </c>
      <c r="O36" s="235">
        <v>250</v>
      </c>
      <c r="P36" s="245">
        <f>+O36</f>
        <v>250</v>
      </c>
      <c r="Q36" s="236" t="s">
        <v>22</v>
      </c>
      <c r="R36" s="234" t="s">
        <v>30</v>
      </c>
      <c r="S36" s="245">
        <v>9</v>
      </c>
      <c r="T36" s="238" t="s">
        <v>367</v>
      </c>
      <c r="U36" s="102" t="s">
        <v>362</v>
      </c>
      <c r="V36" s="114">
        <f>M36</f>
        <v>200</v>
      </c>
      <c r="W36" s="256" t="s">
        <v>75</v>
      </c>
      <c r="X36" s="253">
        <f>Y36+Z36+AA36</f>
        <v>2886983533</v>
      </c>
      <c r="Y36" s="254">
        <f>290000000-10000000</f>
        <v>280000000</v>
      </c>
      <c r="Z36" s="254">
        <f>2672603475-65619942</f>
        <v>2606983533</v>
      </c>
      <c r="AA36" s="252">
        <v>0</v>
      </c>
      <c r="AB36" s="107"/>
      <c r="AC36" s="252">
        <v>0</v>
      </c>
      <c r="AD36" s="39"/>
      <c r="AF36" s="17"/>
    </row>
    <row r="37" spans="1:34" s="15" customFormat="1" ht="60.75" customHeight="1" x14ac:dyDescent="0.35">
      <c r="A37" s="29"/>
      <c r="B37" s="30"/>
      <c r="C37" s="30"/>
      <c r="D37" s="27"/>
      <c r="E37" s="27"/>
      <c r="F37" s="29"/>
      <c r="G37" s="27"/>
      <c r="H37" s="27"/>
      <c r="I37" s="241"/>
      <c r="J37" s="234"/>
      <c r="K37" s="234"/>
      <c r="L37" s="235"/>
      <c r="M37" s="235"/>
      <c r="N37" s="235"/>
      <c r="O37" s="235"/>
      <c r="P37" s="245"/>
      <c r="Q37" s="236"/>
      <c r="R37" s="234"/>
      <c r="S37" s="245"/>
      <c r="T37" s="239"/>
      <c r="U37" s="122" t="s">
        <v>99</v>
      </c>
      <c r="V37" s="114">
        <v>200</v>
      </c>
      <c r="W37" s="256"/>
      <c r="X37" s="253"/>
      <c r="Y37" s="255"/>
      <c r="Z37" s="255"/>
      <c r="AA37" s="252"/>
      <c r="AB37" s="107"/>
      <c r="AC37" s="252"/>
      <c r="AF37" s="17"/>
    </row>
    <row r="38" spans="1:34" s="15" customFormat="1" ht="32.25" customHeight="1" x14ac:dyDescent="0.35">
      <c r="A38" s="29"/>
      <c r="B38" s="30"/>
      <c r="C38" s="30"/>
      <c r="D38" s="27"/>
      <c r="E38" s="27"/>
      <c r="F38" s="29"/>
      <c r="G38" s="27"/>
      <c r="H38" s="27"/>
      <c r="I38" s="242" t="s">
        <v>67</v>
      </c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F38" s="17"/>
    </row>
    <row r="39" spans="1:34" ht="32.25" customHeight="1" x14ac:dyDescent="0.3">
      <c r="A39" s="18"/>
      <c r="B39" s="19"/>
      <c r="C39" s="19"/>
      <c r="D39" s="19"/>
      <c r="E39" s="19"/>
      <c r="F39" s="20"/>
      <c r="G39" s="19"/>
      <c r="H39" s="19"/>
      <c r="I39" s="242" t="s">
        <v>46</v>
      </c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</row>
    <row r="40" spans="1:34" ht="33" customHeight="1" x14ac:dyDescent="0.3">
      <c r="A40" s="18"/>
      <c r="B40" s="19"/>
      <c r="C40" s="19"/>
      <c r="D40" s="19"/>
      <c r="E40" s="19"/>
      <c r="F40" s="20"/>
      <c r="G40" s="19"/>
      <c r="H40" s="19"/>
      <c r="I40" s="242" t="s">
        <v>39</v>
      </c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</row>
    <row r="41" spans="1:34" ht="20.25" customHeight="1" x14ac:dyDescent="0.3">
      <c r="A41" s="18"/>
      <c r="B41" s="19"/>
      <c r="C41" s="19"/>
      <c r="D41" s="19"/>
      <c r="E41" s="19"/>
      <c r="F41" s="20"/>
      <c r="G41" s="19"/>
      <c r="H41" s="19"/>
      <c r="I41" s="237" t="s">
        <v>3</v>
      </c>
      <c r="J41" s="237"/>
      <c r="K41" s="237"/>
      <c r="L41" s="237"/>
      <c r="M41" s="237"/>
      <c r="N41" s="237"/>
      <c r="O41" s="237"/>
      <c r="P41" s="237"/>
      <c r="Q41" s="237"/>
      <c r="R41" s="120"/>
      <c r="S41" s="237" t="s">
        <v>72</v>
      </c>
      <c r="T41" s="237"/>
      <c r="U41" s="237"/>
      <c r="V41" s="237"/>
      <c r="W41" s="237"/>
      <c r="X41" s="243" t="s">
        <v>4</v>
      </c>
      <c r="Y41" s="243"/>
      <c r="Z41" s="243"/>
      <c r="AA41" s="243"/>
      <c r="AB41" s="243"/>
      <c r="AC41" s="244" t="s">
        <v>40</v>
      </c>
    </row>
    <row r="42" spans="1:34" s="12" customFormat="1" ht="66.75" customHeight="1" x14ac:dyDescent="0.35">
      <c r="A42" s="22" t="s">
        <v>5</v>
      </c>
      <c r="B42" s="22" t="s">
        <v>6</v>
      </c>
      <c r="C42" s="22" t="s">
        <v>7</v>
      </c>
      <c r="D42" s="22" t="s">
        <v>8</v>
      </c>
      <c r="E42" s="22" t="s">
        <v>9</v>
      </c>
      <c r="F42" s="23" t="s">
        <v>5</v>
      </c>
      <c r="G42" s="24" t="s">
        <v>10</v>
      </c>
      <c r="H42" s="25"/>
      <c r="I42" s="109" t="s">
        <v>51</v>
      </c>
      <c r="J42" s="109" t="s">
        <v>12</v>
      </c>
      <c r="K42" s="109" t="s">
        <v>52</v>
      </c>
      <c r="L42" s="109" t="s">
        <v>24</v>
      </c>
      <c r="M42" s="109" t="s">
        <v>25</v>
      </c>
      <c r="N42" s="109" t="s">
        <v>26</v>
      </c>
      <c r="O42" s="109" t="s">
        <v>27</v>
      </c>
      <c r="P42" s="109" t="s">
        <v>28</v>
      </c>
      <c r="Q42" s="109" t="s">
        <v>29</v>
      </c>
      <c r="R42" s="109" t="s">
        <v>47</v>
      </c>
      <c r="S42" s="110" t="s">
        <v>14</v>
      </c>
      <c r="T42" s="110" t="s">
        <v>79</v>
      </c>
      <c r="U42" s="110" t="s">
        <v>15</v>
      </c>
      <c r="V42" s="110" t="s">
        <v>16</v>
      </c>
      <c r="W42" s="109" t="s">
        <v>48</v>
      </c>
      <c r="X42" s="110" t="s">
        <v>17</v>
      </c>
      <c r="Y42" s="110" t="s">
        <v>18</v>
      </c>
      <c r="Z42" s="110" t="s">
        <v>19</v>
      </c>
      <c r="AA42" s="110" t="s">
        <v>20</v>
      </c>
      <c r="AB42" s="110" t="s">
        <v>21</v>
      </c>
      <c r="AC42" s="244"/>
    </row>
    <row r="43" spans="1:34" s="14" customFormat="1" ht="86.25" customHeight="1" x14ac:dyDescent="0.7">
      <c r="A43" s="26"/>
      <c r="B43" s="21"/>
      <c r="C43" s="21"/>
      <c r="D43" s="21"/>
      <c r="E43" s="21"/>
      <c r="F43" s="26"/>
      <c r="G43" s="21"/>
      <c r="H43" s="21"/>
      <c r="I43" s="241" t="s">
        <v>54</v>
      </c>
      <c r="J43" s="104" t="s">
        <v>45</v>
      </c>
      <c r="K43" s="104" t="s">
        <v>70</v>
      </c>
      <c r="L43" s="118">
        <v>5</v>
      </c>
      <c r="M43" s="118">
        <v>10</v>
      </c>
      <c r="N43" s="118">
        <v>1</v>
      </c>
      <c r="O43" s="118">
        <v>0</v>
      </c>
      <c r="P43" s="103">
        <f>SUM(L43:O43)</f>
        <v>16</v>
      </c>
      <c r="Q43" s="104" t="s">
        <v>22</v>
      </c>
      <c r="R43" s="127" t="s">
        <v>30</v>
      </c>
      <c r="S43" s="103">
        <v>10</v>
      </c>
      <c r="T43" s="127" t="s">
        <v>104</v>
      </c>
      <c r="U43" s="127" t="s">
        <v>105</v>
      </c>
      <c r="V43" s="128">
        <v>10</v>
      </c>
      <c r="W43" s="129" t="s">
        <v>76</v>
      </c>
      <c r="X43" s="126">
        <f>Y43+Z43+AA43</f>
        <v>0</v>
      </c>
      <c r="Y43" s="125">
        <v>0</v>
      </c>
      <c r="Z43" s="125">
        <v>0</v>
      </c>
      <c r="AA43" s="125">
        <v>0</v>
      </c>
      <c r="AB43" s="107"/>
      <c r="AC43" s="125">
        <v>0</v>
      </c>
      <c r="AH43" s="191"/>
    </row>
    <row r="44" spans="1:34" s="14" customFormat="1" ht="161.25" customHeight="1" x14ac:dyDescent="0.3">
      <c r="A44" s="26"/>
      <c r="B44" s="21"/>
      <c r="C44" s="21"/>
      <c r="D44" s="21"/>
      <c r="E44" s="21"/>
      <c r="F44" s="26"/>
      <c r="G44" s="21"/>
      <c r="H44" s="21"/>
      <c r="I44" s="241"/>
      <c r="J44" s="104" t="s">
        <v>55</v>
      </c>
      <c r="K44" s="104" t="s">
        <v>56</v>
      </c>
      <c r="L44" s="118">
        <v>0</v>
      </c>
      <c r="M44" s="118">
        <v>2</v>
      </c>
      <c r="N44" s="118">
        <v>2</v>
      </c>
      <c r="O44" s="118">
        <v>2</v>
      </c>
      <c r="P44" s="103">
        <f>SUM(L44:O44)</f>
        <v>6</v>
      </c>
      <c r="Q44" s="104" t="s">
        <v>22</v>
      </c>
      <c r="R44" s="127" t="s">
        <v>30</v>
      </c>
      <c r="S44" s="103">
        <v>11</v>
      </c>
      <c r="T44" s="127" t="s">
        <v>106</v>
      </c>
      <c r="U44" s="127" t="s">
        <v>105</v>
      </c>
      <c r="V44" s="128">
        <v>2</v>
      </c>
      <c r="W44" s="129" t="s">
        <v>76</v>
      </c>
      <c r="X44" s="126">
        <f>Y44+Z44+AA44</f>
        <v>0</v>
      </c>
      <c r="Y44" s="125">
        <v>0</v>
      </c>
      <c r="Z44" s="125">
        <v>0</v>
      </c>
      <c r="AA44" s="125">
        <v>0</v>
      </c>
      <c r="AB44" s="107"/>
      <c r="AC44" s="125">
        <v>0</v>
      </c>
    </row>
    <row r="45" spans="1:34" ht="36.75" customHeight="1" x14ac:dyDescent="0.5">
      <c r="I45" s="240" t="s">
        <v>53</v>
      </c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53">
        <f>Y45+Z45+AA45</f>
        <v>3499185124</v>
      </c>
      <c r="Y45" s="53">
        <f>SUBTOTAL(9,Y11:Y44)</f>
        <v>892201591</v>
      </c>
      <c r="Z45" s="53">
        <f>SUBTOTAL(9,Z1:Z44)</f>
        <v>2606983533</v>
      </c>
      <c r="AA45" s="179">
        <f>SUBTOTAL(9,AA11:AA44)</f>
        <v>0</v>
      </c>
      <c r="AB45" s="53">
        <f>SUBTOTAL(9,AB11:AB43)</f>
        <v>0</v>
      </c>
      <c r="AC45" s="53">
        <f>SUBTOTAL(9,AC11:AC44)</f>
        <v>47383335</v>
      </c>
    </row>
    <row r="49" spans="24:26" s="9" customFormat="1" ht="23" x14ac:dyDescent="0.2">
      <c r="X49" s="38"/>
      <c r="Y49" s="38"/>
      <c r="Z49" s="53"/>
    </row>
    <row r="52" spans="24:26" s="9" customFormat="1" ht="60" customHeight="1" x14ac:dyDescent="0.2"/>
  </sheetData>
  <dataConsolidate/>
  <mergeCells count="66">
    <mergeCell ref="I28:AC28"/>
    <mergeCell ref="I23:Q23"/>
    <mergeCell ref="X23:AB23"/>
    <mergeCell ref="R23:W23"/>
    <mergeCell ref="AC29:AC30"/>
    <mergeCell ref="X29:AB29"/>
    <mergeCell ref="I27:AC27"/>
    <mergeCell ref="I12:AC12"/>
    <mergeCell ref="J15:J19"/>
    <mergeCell ref="N15:N19"/>
    <mergeCell ref="X13:AB13"/>
    <mergeCell ref="I26:AC26"/>
    <mergeCell ref="O15:O19"/>
    <mergeCell ref="I22:AC22"/>
    <mergeCell ref="U2:AC2"/>
    <mergeCell ref="U3:AC3"/>
    <mergeCell ref="U4:AC4"/>
    <mergeCell ref="I7:AC7"/>
    <mergeCell ref="I6:AB6"/>
    <mergeCell ref="AC23:AC24"/>
    <mergeCell ref="I21:AC21"/>
    <mergeCell ref="K15:K19"/>
    <mergeCell ref="L15:L19"/>
    <mergeCell ref="M15:M19"/>
    <mergeCell ref="I20:AB20"/>
    <mergeCell ref="I15:I19"/>
    <mergeCell ref="AC13:AC14"/>
    <mergeCell ref="R13:W13"/>
    <mergeCell ref="P15:P19"/>
    <mergeCell ref="Q15:Q19"/>
    <mergeCell ref="R15:R19"/>
    <mergeCell ref="I13:Q13"/>
    <mergeCell ref="S29:W29"/>
    <mergeCell ref="S34:W34"/>
    <mergeCell ref="I39:AC39"/>
    <mergeCell ref="I40:AC40"/>
    <mergeCell ref="P36:P37"/>
    <mergeCell ref="O36:O37"/>
    <mergeCell ref="N36:N37"/>
    <mergeCell ref="I38:AC38"/>
    <mergeCell ref="I29:Q29"/>
    <mergeCell ref="AC36:AC37"/>
    <mergeCell ref="S36:S37"/>
    <mergeCell ref="X36:X37"/>
    <mergeCell ref="Y36:Y37"/>
    <mergeCell ref="Z36:Z37"/>
    <mergeCell ref="AA36:AA37"/>
    <mergeCell ref="W36:W37"/>
    <mergeCell ref="I33:AC33"/>
    <mergeCell ref="X34:AB34"/>
    <mergeCell ref="X41:AB41"/>
    <mergeCell ref="AC41:AC42"/>
    <mergeCell ref="I36:I37"/>
    <mergeCell ref="S41:W41"/>
    <mergeCell ref="AC34:AC35"/>
    <mergeCell ref="I34:Q34"/>
    <mergeCell ref="T36:T37"/>
    <mergeCell ref="I45:W45"/>
    <mergeCell ref="I41:Q41"/>
    <mergeCell ref="I43:I44"/>
    <mergeCell ref="J36:J37"/>
    <mergeCell ref="K36:K37"/>
    <mergeCell ref="L36:L37"/>
    <mergeCell ref="M36:M37"/>
    <mergeCell ref="R36:R37"/>
    <mergeCell ref="Q36:Q37"/>
  </mergeCells>
  <conditionalFormatting sqref="L32:O32">
    <cfRule type="expression" dxfId="169" priority="142" stopIfTrue="1">
      <formula>+IF((#REF!+#REF!+#REF!+#REF!+#REF!)&lt;&gt;$L32,1,0)</formula>
    </cfRule>
  </conditionalFormatting>
  <conditionalFormatting sqref="J11:K11 J15:K18 J32:K32 W32 AB32">
    <cfRule type="expression" dxfId="168" priority="131" stopIfTrue="1">
      <formula>+IF((#REF!+#REF!+#REF!+#REF!+#REF!)&lt;&gt;$M11,1,0)</formula>
    </cfRule>
  </conditionalFormatting>
  <conditionalFormatting sqref="L43:O44">
    <cfRule type="expression" dxfId="167" priority="118" stopIfTrue="1">
      <formula>+IF((#REF!+#REF!+#REF!+#REF!+#REF!)&lt;&gt;$L43,1,0)</formula>
    </cfRule>
  </conditionalFormatting>
  <conditionalFormatting sqref="L15:O18">
    <cfRule type="expression" dxfId="166" priority="78" stopIfTrue="1">
      <formula>+IF((#REF!+#REF!+#REF!+#REF!+#REF!)&lt;&gt;$L15,1,0)</formula>
    </cfRule>
  </conditionalFormatting>
  <conditionalFormatting sqref="J11">
    <cfRule type="expression" dxfId="165" priority="77" stopIfTrue="1">
      <formula>+IF((#REF!+#REF!+#REF!+#REF!+#REF!)&lt;&gt;$M11,1,0)</formula>
    </cfRule>
  </conditionalFormatting>
  <conditionalFormatting sqref="K11">
    <cfRule type="expression" dxfId="164" priority="76" stopIfTrue="1">
      <formula>+IF((#REF!+#REF!+#REF!+#REF!+#REF!)&lt;&gt;$M11,1,0)</formula>
    </cfRule>
  </conditionalFormatting>
  <conditionalFormatting sqref="L32:O32">
    <cfRule type="expression" dxfId="163" priority="75" stopIfTrue="1">
      <formula>+IF((#REF!+#REF!+#REF!+#REF!+#REF!)&lt;&gt;$L32,1,0)</formula>
    </cfRule>
  </conditionalFormatting>
  <conditionalFormatting sqref="J32">
    <cfRule type="expression" dxfId="162" priority="73" stopIfTrue="1">
      <formula>+IF((#REF!+#REF!+#REF!+#REF!+#REF!)&lt;&gt;$M32,1,0)</formula>
    </cfRule>
  </conditionalFormatting>
  <conditionalFormatting sqref="K32 W32 AB32">
    <cfRule type="expression" dxfId="161" priority="72" stopIfTrue="1">
      <formula>+IF((#REF!+#REF!+#REF!+#REF!+#REF!)&lt;&gt;$M32,1,0)</formula>
    </cfRule>
  </conditionalFormatting>
  <conditionalFormatting sqref="L43:O44">
    <cfRule type="expression" dxfId="160" priority="63" stopIfTrue="1">
      <formula>+IF((#REF!+#REF!+#REF!+#REF!+#REF!)&lt;&gt;$L43,1,0)</formula>
    </cfRule>
  </conditionalFormatting>
  <conditionalFormatting sqref="L24:O24">
    <cfRule type="expression" dxfId="159" priority="52" stopIfTrue="1">
      <formula>+IF((#REF!+#REF!+#REF!+#REF!+#REF!)&lt;&gt;$L24,1,0)</formula>
    </cfRule>
  </conditionalFormatting>
  <conditionalFormatting sqref="J24:K24">
    <cfRule type="expression" dxfId="158" priority="51" stopIfTrue="1">
      <formula>+IF((#REF!+#REF!+#REF!+#REF!+#REF!)&lt;&gt;$M24,1,0)</formula>
    </cfRule>
  </conditionalFormatting>
  <conditionalFormatting sqref="L24:O24">
    <cfRule type="expression" dxfId="157" priority="50" stopIfTrue="1">
      <formula>+IF((#REF!+#REF!+#REF!+#REF!+#REF!)&lt;&gt;$L24,1,0)</formula>
    </cfRule>
  </conditionalFormatting>
  <conditionalFormatting sqref="J24">
    <cfRule type="expression" dxfId="156" priority="49" stopIfTrue="1">
      <formula>+IF((#REF!+#REF!+#REF!+#REF!+#REF!)&lt;&gt;$M24,1,0)</formula>
    </cfRule>
  </conditionalFormatting>
  <conditionalFormatting sqref="K24">
    <cfRule type="expression" dxfId="155" priority="48" stopIfTrue="1">
      <formula>+IF((#REF!+#REF!+#REF!+#REF!+#REF!)&lt;&gt;$M24,1,0)</formula>
    </cfRule>
  </conditionalFormatting>
  <conditionalFormatting sqref="U36">
    <cfRule type="expression" dxfId="154" priority="35" stopIfTrue="1">
      <formula>+IF((#REF!+#REF!+#REF!+#REF!+#REF!)&lt;&gt;$M36,1,0)</formula>
    </cfRule>
  </conditionalFormatting>
  <conditionalFormatting sqref="V36:W36">
    <cfRule type="expression" dxfId="153" priority="37" stopIfTrue="1">
      <formula>+IF((#REF!+#REF!+#REF!+#REF!+#REF!)&lt;&gt;$L36,1,0)</formula>
    </cfRule>
  </conditionalFormatting>
  <conditionalFormatting sqref="V36:W36">
    <cfRule type="expression" dxfId="152" priority="36" stopIfTrue="1">
      <formula>+IF((#REF!+#REF!+#REF!+#REF!+#REF!)&lt;&gt;$L36,1,0)</formula>
    </cfRule>
  </conditionalFormatting>
  <conditionalFormatting sqref="U36">
    <cfRule type="expression" dxfId="151" priority="34" stopIfTrue="1">
      <formula>+IF((#REF!+#REF!+#REF!+#REF!+#REF!)&lt;&gt;$M36,1,0)</formula>
    </cfRule>
  </conditionalFormatting>
  <conditionalFormatting sqref="T32">
    <cfRule type="expression" dxfId="150" priority="33" stopIfTrue="1">
      <formula>+IF((#REF!+#REF!+#REF!+#REF!+#REF!)&lt;&gt;$M32,1,0)</formula>
    </cfRule>
  </conditionalFormatting>
  <conditionalFormatting sqref="T32">
    <cfRule type="expression" dxfId="149" priority="32" stopIfTrue="1">
      <formula>+IF((#REF!+#REF!+#REF!+#REF!+#REF!)&lt;&gt;$M32,1,0)</formula>
    </cfRule>
  </conditionalFormatting>
  <conditionalFormatting sqref="U32">
    <cfRule type="expression" dxfId="148" priority="31" stopIfTrue="1">
      <formula>+IF((#REF!+#REF!+#REF!+#REF!+#REF!)&lt;&gt;$M32,1,0)</formula>
    </cfRule>
  </conditionalFormatting>
  <conditionalFormatting sqref="U32">
    <cfRule type="expression" dxfId="147" priority="30" stopIfTrue="1">
      <formula>+IF((#REF!+#REF!+#REF!+#REF!+#REF!)&lt;&gt;$M32,1,0)</formula>
    </cfRule>
  </conditionalFormatting>
  <conditionalFormatting sqref="L31:O31">
    <cfRule type="expression" dxfId="146" priority="21" stopIfTrue="1">
      <formula>+IF((#REF!+#REF!+#REF!+#REF!+#REF!)&lt;&gt;$L31,1,0)</formula>
    </cfRule>
  </conditionalFormatting>
  <conditionalFormatting sqref="J31:K31">
    <cfRule type="expression" dxfId="145" priority="20" stopIfTrue="1">
      <formula>+IF((#REF!+#REF!+#REF!+#REF!+#REF!)&lt;&gt;$M31,1,0)</formula>
    </cfRule>
  </conditionalFormatting>
  <conditionalFormatting sqref="L31:O31">
    <cfRule type="expression" dxfId="144" priority="19" stopIfTrue="1">
      <formula>+IF((#REF!+#REF!+#REF!+#REF!+#REF!)&lt;&gt;$L31,1,0)</formula>
    </cfRule>
  </conditionalFormatting>
  <conditionalFormatting sqref="J31">
    <cfRule type="expression" dxfId="143" priority="18" stopIfTrue="1">
      <formula>+IF((#REF!+#REF!+#REF!+#REF!+#REF!)&lt;&gt;$M31,1,0)</formula>
    </cfRule>
  </conditionalFormatting>
  <conditionalFormatting sqref="K31">
    <cfRule type="expression" dxfId="142" priority="17" stopIfTrue="1">
      <formula>+IF((#REF!+#REF!+#REF!+#REF!+#REF!)&lt;&gt;$M31,1,0)</formula>
    </cfRule>
  </conditionalFormatting>
  <conditionalFormatting sqref="T31:U31 AB31 W31:X31">
    <cfRule type="expression" dxfId="141" priority="16" stopIfTrue="1">
      <formula>+IF((#REF!+#REF!+#REF!+#REF!+#REF!)&lt;&gt;$M31,1,0)</formula>
    </cfRule>
  </conditionalFormatting>
  <conditionalFormatting sqref="T31:U31 AB31 W31:X31">
    <cfRule type="expression" dxfId="140" priority="15" stopIfTrue="1">
      <formula>+IF((#REF!+#REF!+#REF!+#REF!+#REF!)&lt;&gt;$M31,1,0)</formula>
    </cfRule>
  </conditionalFormatting>
  <conditionalFormatting sqref="AC31">
    <cfRule type="expression" dxfId="139" priority="12" stopIfTrue="1">
      <formula>+IF((#REF!+#REF!+#REF!+#REF!+#REF!)&lt;&gt;$M31,1,0)</formula>
    </cfRule>
  </conditionalFormatting>
  <conditionalFormatting sqref="AC31">
    <cfRule type="expression" dxfId="138" priority="11" stopIfTrue="1">
      <formula>+IF((#REF!+#REF!+#REF!+#REF!+#REF!)&lt;&gt;$M31,1,0)</formula>
    </cfRule>
  </conditionalFormatting>
  <conditionalFormatting sqref="Y31">
    <cfRule type="expression" dxfId="137" priority="10" stopIfTrue="1">
      <formula>+IF((#REF!+#REF!+#REF!+#REF!+#REF!)&lt;&gt;$M31,1,0)</formula>
    </cfRule>
  </conditionalFormatting>
  <conditionalFormatting sqref="Y31">
    <cfRule type="expression" dxfId="136" priority="9" stopIfTrue="1">
      <formula>+IF((#REF!+#REF!+#REF!+#REF!+#REF!)&lt;&gt;$M31,1,0)</formula>
    </cfRule>
  </conditionalFormatting>
  <conditionalFormatting sqref="L36:O36">
    <cfRule type="expression" dxfId="135" priority="8" stopIfTrue="1">
      <formula>+IF((#REF!+#REF!+#REF!+#REF!+#REF!)&lt;&gt;$L36,1,0)</formula>
    </cfRule>
  </conditionalFormatting>
  <conditionalFormatting sqref="L36:O36 V37">
    <cfRule type="expression" dxfId="134" priority="7" stopIfTrue="1">
      <formula>+IF((#REF!+#REF!+#REF!+#REF!+#REF!)&lt;&gt;$L36,1,0)</formula>
    </cfRule>
  </conditionalFormatting>
  <conditionalFormatting sqref="V37">
    <cfRule type="expression" dxfId="133" priority="5" stopIfTrue="1">
      <formula>+IF((#REF!+#REF!+#REF!+#REF!+#REF!)&lt;&gt;$L37,1,0)</formula>
    </cfRule>
  </conditionalFormatting>
  <conditionalFormatting sqref="U37">
    <cfRule type="expression" dxfId="132" priority="4" stopIfTrue="1">
      <formula>+IF((#REF!+#REF!+#REF!+#REF!+#REF!)&lt;&gt;$M37,1,0)</formula>
    </cfRule>
  </conditionalFormatting>
  <conditionalFormatting sqref="U37">
    <cfRule type="expression" dxfId="131" priority="3" stopIfTrue="1">
      <formula>+IF((#REF!+#REF!+#REF!+#REF!+#REF!)&lt;&gt;$M37,1,0)</formula>
    </cfRule>
  </conditionalFormatting>
  <dataValidations count="1">
    <dataValidation type="list" allowBlank="1" showInputMessage="1" showErrorMessage="1" sqref="Q43:R44 Q31:R32 Q11:R11 Q15:R18 Q36:R36 Q38:R38">
      <formula1>#REF!</formula1>
    </dataValidation>
  </dataValidations>
  <pageMargins left="0.7" right="0.7" top="0.75" bottom="0.75" header="0.3" footer="0.3"/>
  <pageSetup scale="31" orientation="landscape" r:id="rId1"/>
  <ignoredErrors>
    <ignoredError sqref="X15:X19 X25 X32 X36:Z36 X43:X44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V41"/>
  <sheetViews>
    <sheetView topLeftCell="C28" workbookViewId="0">
      <selection activeCell="M31" sqref="M31:M32"/>
    </sheetView>
  </sheetViews>
  <sheetFormatPr baseColWidth="10" defaultColWidth="11.453125" defaultRowHeight="14" x14ac:dyDescent="0.3"/>
  <cols>
    <col min="1" max="1" width="5.1796875" style="91" customWidth="1"/>
    <col min="2" max="2" width="17.453125" style="91" customWidth="1"/>
    <col min="3" max="3" width="23.453125" style="91" customWidth="1"/>
    <col min="4" max="4" width="11.453125" style="91"/>
    <col min="5" max="5" width="4.7265625" style="91" customWidth="1"/>
    <col min="6" max="6" width="4.81640625" style="91" customWidth="1"/>
    <col min="7" max="7" width="5.26953125" style="91" customWidth="1"/>
    <col min="8" max="8" width="5.1796875" style="91" customWidth="1"/>
    <col min="9" max="9" width="9.81640625" style="91" customWidth="1"/>
    <col min="10" max="10" width="11.453125" style="91"/>
    <col min="11" max="11" width="21.81640625" style="91" customWidth="1"/>
    <col min="12" max="12" width="5.81640625" style="91" customWidth="1"/>
    <col min="13" max="13" width="20.81640625" style="91" customWidth="1"/>
    <col min="14" max="14" width="12.453125" style="91" bestFit="1" customWidth="1"/>
    <col min="15" max="15" width="9.1796875" style="91" customWidth="1"/>
    <col min="16" max="16" width="19.26953125" style="91" customWidth="1"/>
    <col min="17" max="17" width="18.1796875" style="91" customWidth="1"/>
    <col min="18" max="18" width="17.7265625" style="91" customWidth="1"/>
    <col min="19" max="19" width="14.26953125" style="91" customWidth="1"/>
    <col min="20" max="20" width="15.81640625" style="91" customWidth="1"/>
    <col min="21" max="21" width="16.7265625" style="91" customWidth="1"/>
    <col min="22" max="16384" width="11.453125" style="91"/>
  </cols>
  <sheetData>
    <row r="2" spans="2:22" ht="15.5" x14ac:dyDescent="0.3">
      <c r="L2" s="290" t="s">
        <v>0</v>
      </c>
      <c r="M2" s="290"/>
      <c r="N2" s="290"/>
      <c r="O2" s="290"/>
      <c r="P2" s="290"/>
      <c r="Q2" s="290"/>
      <c r="R2" s="290"/>
      <c r="S2" s="290"/>
      <c r="T2" s="290"/>
      <c r="U2" s="290"/>
    </row>
    <row r="3" spans="2:22" ht="18" x14ac:dyDescent="0.3">
      <c r="L3" s="291" t="s">
        <v>170</v>
      </c>
      <c r="M3" s="291"/>
      <c r="N3" s="291"/>
      <c r="O3" s="291"/>
      <c r="P3" s="291"/>
      <c r="Q3" s="291"/>
      <c r="R3" s="291"/>
      <c r="S3" s="291"/>
      <c r="T3" s="291"/>
      <c r="U3" s="291"/>
    </row>
    <row r="4" spans="2:22" ht="18" x14ac:dyDescent="0.3"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2:22" x14ac:dyDescent="0.3">
      <c r="B6" s="282" t="s">
        <v>23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2" x14ac:dyDescent="0.3">
      <c r="B7" s="282" t="s">
        <v>107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</row>
    <row r="8" spans="2:22" x14ac:dyDescent="0.3">
      <c r="B8" s="282" t="s">
        <v>108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</row>
    <row r="9" spans="2:22" ht="10.5" customHeight="1" x14ac:dyDescent="0.3">
      <c r="B9" s="283" t="s">
        <v>3</v>
      </c>
      <c r="C9" s="283"/>
      <c r="D9" s="283"/>
      <c r="E9" s="283"/>
      <c r="F9" s="283"/>
      <c r="G9" s="283"/>
      <c r="H9" s="283"/>
      <c r="I9" s="283"/>
      <c r="J9" s="283"/>
      <c r="K9" s="85"/>
      <c r="L9" s="284" t="s">
        <v>72</v>
      </c>
      <c r="M9" s="284"/>
      <c r="N9" s="284"/>
      <c r="O9" s="284"/>
      <c r="P9" s="284"/>
      <c r="Q9" s="285" t="s">
        <v>4</v>
      </c>
      <c r="R9" s="285"/>
      <c r="S9" s="285"/>
      <c r="T9" s="285"/>
      <c r="U9" s="286" t="s">
        <v>40</v>
      </c>
    </row>
    <row r="10" spans="2:22" ht="42.75" customHeight="1" x14ac:dyDescent="0.3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200" t="s">
        <v>361</v>
      </c>
      <c r="U10" s="286"/>
    </row>
    <row r="11" spans="2:22" ht="66.75" customHeight="1" x14ac:dyDescent="0.3">
      <c r="B11" s="275" t="s">
        <v>109</v>
      </c>
      <c r="C11" s="56" t="s">
        <v>110</v>
      </c>
      <c r="D11" s="56" t="s">
        <v>111</v>
      </c>
      <c r="E11" s="57">
        <v>0</v>
      </c>
      <c r="F11" s="57">
        <v>0</v>
      </c>
      <c r="G11" s="57">
        <v>0</v>
      </c>
      <c r="H11" s="58">
        <v>1</v>
      </c>
      <c r="I11" s="59">
        <f>SUM(E11:H11)</f>
        <v>1</v>
      </c>
      <c r="J11" s="60" t="s">
        <v>112</v>
      </c>
      <c r="K11" s="60" t="s">
        <v>113</v>
      </c>
      <c r="L11" s="264">
        <v>1</v>
      </c>
      <c r="M11" s="257" t="s">
        <v>114</v>
      </c>
      <c r="N11" s="265" t="s">
        <v>115</v>
      </c>
      <c r="O11" s="267">
        <v>1</v>
      </c>
      <c r="P11" s="257" t="s">
        <v>116</v>
      </c>
      <c r="Q11" s="260">
        <f>R11+S11+T11</f>
        <v>42000000</v>
      </c>
      <c r="R11" s="261">
        <v>42000000</v>
      </c>
      <c r="S11" s="262">
        <v>0</v>
      </c>
      <c r="T11" s="262">
        <v>0</v>
      </c>
      <c r="U11" s="262">
        <v>0</v>
      </c>
    </row>
    <row r="12" spans="2:22" ht="49.5" customHeight="1" x14ac:dyDescent="0.3">
      <c r="B12" s="275"/>
      <c r="C12" s="56" t="s">
        <v>117</v>
      </c>
      <c r="D12" s="56" t="s">
        <v>111</v>
      </c>
      <c r="E12" s="57">
        <v>1</v>
      </c>
      <c r="F12" s="57">
        <v>0</v>
      </c>
      <c r="G12" s="57">
        <v>0</v>
      </c>
      <c r="H12" s="58">
        <v>0</v>
      </c>
      <c r="I12" s="59">
        <v>1</v>
      </c>
      <c r="J12" s="60" t="s">
        <v>112</v>
      </c>
      <c r="K12" s="60" t="s">
        <v>113</v>
      </c>
      <c r="L12" s="258"/>
      <c r="M12" s="257"/>
      <c r="N12" s="266"/>
      <c r="O12" s="267"/>
      <c r="P12" s="257"/>
      <c r="Q12" s="260"/>
      <c r="R12" s="261"/>
      <c r="S12" s="262"/>
      <c r="T12" s="262"/>
      <c r="U12" s="262"/>
    </row>
    <row r="13" spans="2:22" ht="71.25" customHeight="1" x14ac:dyDescent="0.3">
      <c r="B13" s="275"/>
      <c r="C13" s="226" t="s">
        <v>369</v>
      </c>
      <c r="D13" s="56" t="s">
        <v>370</v>
      </c>
      <c r="E13" s="58">
        <v>0</v>
      </c>
      <c r="F13" s="58">
        <v>2</v>
      </c>
      <c r="G13" s="58">
        <v>2</v>
      </c>
      <c r="H13" s="58">
        <v>2</v>
      </c>
      <c r="I13" s="59">
        <f>SUM(E13:H13)</f>
        <v>6</v>
      </c>
      <c r="J13" s="60" t="s">
        <v>112</v>
      </c>
      <c r="K13" s="60" t="s">
        <v>113</v>
      </c>
      <c r="L13" s="209">
        <v>2</v>
      </c>
      <c r="M13" s="208" t="s">
        <v>119</v>
      </c>
      <c r="N13" s="56" t="s">
        <v>115</v>
      </c>
      <c r="O13" s="88">
        <v>2</v>
      </c>
      <c r="P13" s="60" t="s">
        <v>116</v>
      </c>
      <c r="Q13" s="183">
        <f>R13+S13+T13</f>
        <v>150000000</v>
      </c>
      <c r="R13" s="67">
        <v>150000000</v>
      </c>
      <c r="S13" s="68">
        <v>0</v>
      </c>
      <c r="T13" s="68">
        <v>0</v>
      </c>
      <c r="U13" s="68">
        <v>0</v>
      </c>
    </row>
    <row r="14" spans="2:22" ht="57.5" x14ac:dyDescent="0.3">
      <c r="B14" s="275" t="s">
        <v>120</v>
      </c>
      <c r="C14" s="270" t="s">
        <v>121</v>
      </c>
      <c r="D14" s="56" t="s">
        <v>122</v>
      </c>
      <c r="E14" s="70">
        <v>1</v>
      </c>
      <c r="F14" s="70">
        <v>1</v>
      </c>
      <c r="G14" s="70">
        <v>1</v>
      </c>
      <c r="H14" s="70">
        <v>1</v>
      </c>
      <c r="I14" s="71">
        <v>1</v>
      </c>
      <c r="J14" s="60" t="s">
        <v>112</v>
      </c>
      <c r="K14" s="60" t="s">
        <v>113</v>
      </c>
      <c r="L14" s="258">
        <v>3</v>
      </c>
      <c r="M14" s="257" t="s">
        <v>123</v>
      </c>
      <c r="N14" s="272" t="s">
        <v>124</v>
      </c>
      <c r="O14" s="263">
        <v>1</v>
      </c>
      <c r="P14" s="280" t="s">
        <v>125</v>
      </c>
      <c r="Q14" s="279">
        <f>R14+S14+T14</f>
        <v>515000000</v>
      </c>
      <c r="R14" s="261">
        <f>539000000-40000000-150000000+42000000-6000000</f>
        <v>385000000</v>
      </c>
      <c r="S14" s="262">
        <v>0</v>
      </c>
      <c r="T14" s="262">
        <f>150000000-20000000</f>
        <v>130000000</v>
      </c>
      <c r="U14" s="287">
        <f>97927501-25000000</f>
        <v>72927501</v>
      </c>
      <c r="V14" s="192"/>
    </row>
    <row r="15" spans="2:22" ht="48" customHeight="1" x14ac:dyDescent="0.3">
      <c r="B15" s="275"/>
      <c r="C15" s="271"/>
      <c r="D15" s="56" t="s">
        <v>126</v>
      </c>
      <c r="E15" s="57">
        <v>1</v>
      </c>
      <c r="F15" s="57">
        <v>0</v>
      </c>
      <c r="G15" s="57">
        <v>0</v>
      </c>
      <c r="H15" s="57">
        <v>0</v>
      </c>
      <c r="I15" s="59">
        <f t="shared" ref="I15:I25" si="0">SUM(E15:H15)</f>
        <v>1</v>
      </c>
      <c r="J15" s="60" t="s">
        <v>112</v>
      </c>
      <c r="K15" s="60" t="s">
        <v>118</v>
      </c>
      <c r="L15" s="259"/>
      <c r="M15" s="257"/>
      <c r="N15" s="272"/>
      <c r="O15" s="263"/>
      <c r="P15" s="281"/>
      <c r="Q15" s="279"/>
      <c r="R15" s="261"/>
      <c r="S15" s="262"/>
      <c r="T15" s="262"/>
      <c r="U15" s="287"/>
    </row>
    <row r="16" spans="2:22" ht="60" customHeight="1" x14ac:dyDescent="0.3">
      <c r="B16" s="275"/>
      <c r="C16" s="277" t="s">
        <v>127</v>
      </c>
      <c r="D16" s="278" t="s">
        <v>128</v>
      </c>
      <c r="E16" s="269">
        <v>1</v>
      </c>
      <c r="F16" s="269">
        <v>1</v>
      </c>
      <c r="G16" s="269">
        <v>1</v>
      </c>
      <c r="H16" s="269">
        <v>1</v>
      </c>
      <c r="I16" s="273">
        <f t="shared" si="0"/>
        <v>4</v>
      </c>
      <c r="J16" s="257" t="s">
        <v>112</v>
      </c>
      <c r="K16" s="257" t="s">
        <v>118</v>
      </c>
      <c r="L16" s="59">
        <v>4</v>
      </c>
      <c r="M16" s="73" t="s">
        <v>129</v>
      </c>
      <c r="N16" s="65" t="s">
        <v>115</v>
      </c>
      <c r="O16" s="88">
        <v>1</v>
      </c>
      <c r="P16" s="60" t="s">
        <v>116</v>
      </c>
      <c r="Q16" s="184">
        <f>R16+S16+T16</f>
        <v>371363753</v>
      </c>
      <c r="R16" s="63">
        <f>273000000-36556247+48720000+20000000+66200000</f>
        <v>371363753</v>
      </c>
      <c r="S16" s="64">
        <v>0</v>
      </c>
      <c r="T16" s="64">
        <v>0</v>
      </c>
      <c r="U16" s="63">
        <v>0</v>
      </c>
      <c r="V16" s="192"/>
    </row>
    <row r="17" spans="2:21" ht="63" customHeight="1" x14ac:dyDescent="0.3">
      <c r="B17" s="275"/>
      <c r="C17" s="277"/>
      <c r="D17" s="278"/>
      <c r="E17" s="269"/>
      <c r="F17" s="269"/>
      <c r="G17" s="269"/>
      <c r="H17" s="269"/>
      <c r="I17" s="273"/>
      <c r="J17" s="257"/>
      <c r="K17" s="257"/>
      <c r="L17" s="59">
        <v>5</v>
      </c>
      <c r="M17" s="73" t="s">
        <v>130</v>
      </c>
      <c r="N17" s="65" t="s">
        <v>115</v>
      </c>
      <c r="O17" s="88">
        <v>1</v>
      </c>
      <c r="P17" s="60" t="s">
        <v>116</v>
      </c>
      <c r="Q17" s="184">
        <f>R17+S17+T17</f>
        <v>95000000</v>
      </c>
      <c r="R17" s="63">
        <v>75000000</v>
      </c>
      <c r="S17" s="64">
        <v>0</v>
      </c>
      <c r="T17" s="64">
        <v>20000000</v>
      </c>
      <c r="U17" s="186">
        <f>19500000-9750000</f>
        <v>9750000</v>
      </c>
    </row>
    <row r="18" spans="2:21" ht="92.25" customHeight="1" x14ac:dyDescent="0.3">
      <c r="B18" s="275"/>
      <c r="C18" s="69" t="s">
        <v>131</v>
      </c>
      <c r="D18" s="56" t="s">
        <v>132</v>
      </c>
      <c r="E18" s="57">
        <v>1</v>
      </c>
      <c r="F18" s="57">
        <v>1</v>
      </c>
      <c r="G18" s="57">
        <v>1</v>
      </c>
      <c r="H18" s="57">
        <v>1</v>
      </c>
      <c r="I18" s="59">
        <f>SUM(E18:H18)</f>
        <v>4</v>
      </c>
      <c r="J18" s="60" t="s">
        <v>112</v>
      </c>
      <c r="K18" s="60" t="s">
        <v>30</v>
      </c>
      <c r="L18" s="59">
        <v>6</v>
      </c>
      <c r="M18" s="75" t="s">
        <v>133</v>
      </c>
      <c r="N18" s="76" t="s">
        <v>115</v>
      </c>
      <c r="O18" s="59">
        <v>1</v>
      </c>
      <c r="P18" s="77" t="s">
        <v>134</v>
      </c>
      <c r="Q18" s="78">
        <f>R18+S18+T18</f>
        <v>70000000</v>
      </c>
      <c r="R18" s="67">
        <v>70000000</v>
      </c>
      <c r="S18" s="64">
        <v>0</v>
      </c>
      <c r="T18" s="64">
        <v>0</v>
      </c>
      <c r="U18" s="63">
        <v>0</v>
      </c>
    </row>
    <row r="19" spans="2:21" ht="63" customHeight="1" x14ac:dyDescent="0.3">
      <c r="B19" s="275"/>
      <c r="C19" s="224" t="s">
        <v>381</v>
      </c>
      <c r="D19" s="225" t="s">
        <v>382</v>
      </c>
      <c r="E19" s="57">
        <v>0</v>
      </c>
      <c r="F19" s="57">
        <v>1</v>
      </c>
      <c r="G19" s="57">
        <v>1</v>
      </c>
      <c r="H19" s="57">
        <v>1</v>
      </c>
      <c r="I19" s="59">
        <f t="shared" si="0"/>
        <v>3</v>
      </c>
      <c r="J19" s="60" t="s">
        <v>112</v>
      </c>
      <c r="K19" s="60" t="s">
        <v>118</v>
      </c>
      <c r="L19" s="273">
        <v>7</v>
      </c>
      <c r="M19" s="268" t="s">
        <v>135</v>
      </c>
      <c r="N19" s="272" t="s">
        <v>115</v>
      </c>
      <c r="O19" s="267">
        <v>4</v>
      </c>
      <c r="P19" s="268" t="s">
        <v>134</v>
      </c>
      <c r="Q19" s="276">
        <f>R19+S19+T19</f>
        <v>50000000</v>
      </c>
      <c r="R19" s="261">
        <f>70000000-20000000</f>
        <v>50000000</v>
      </c>
      <c r="S19" s="262">
        <v>0</v>
      </c>
      <c r="T19" s="262">
        <v>0</v>
      </c>
      <c r="U19" s="288">
        <f>254877231+9750000+53050000+27000000</f>
        <v>344677231</v>
      </c>
    </row>
    <row r="20" spans="2:21" ht="60" customHeight="1" x14ac:dyDescent="0.3">
      <c r="B20" s="275"/>
      <c r="C20" s="69" t="s">
        <v>136</v>
      </c>
      <c r="D20" s="56" t="s">
        <v>137</v>
      </c>
      <c r="E20" s="57">
        <v>2</v>
      </c>
      <c r="F20" s="81">
        <v>2</v>
      </c>
      <c r="G20" s="57">
        <v>2</v>
      </c>
      <c r="H20" s="57">
        <v>2</v>
      </c>
      <c r="I20" s="59">
        <f>SUM(E20:H20)</f>
        <v>8</v>
      </c>
      <c r="J20" s="60" t="s">
        <v>112</v>
      </c>
      <c r="K20" s="60" t="s">
        <v>118</v>
      </c>
      <c r="L20" s="273"/>
      <c r="M20" s="268"/>
      <c r="N20" s="272"/>
      <c r="O20" s="267"/>
      <c r="P20" s="268"/>
      <c r="Q20" s="276"/>
      <c r="R20" s="261"/>
      <c r="S20" s="262"/>
      <c r="T20" s="262"/>
      <c r="U20" s="288"/>
    </row>
    <row r="21" spans="2:21" ht="51" customHeight="1" x14ac:dyDescent="0.3">
      <c r="B21" s="275"/>
      <c r="C21" s="79" t="s">
        <v>138</v>
      </c>
      <c r="D21" s="80" t="s">
        <v>139</v>
      </c>
      <c r="E21" s="57">
        <v>0</v>
      </c>
      <c r="F21" s="57">
        <v>1</v>
      </c>
      <c r="G21" s="57">
        <v>1</v>
      </c>
      <c r="H21" s="57">
        <v>1</v>
      </c>
      <c r="I21" s="59">
        <v>3</v>
      </c>
      <c r="J21" s="60" t="s">
        <v>112</v>
      </c>
      <c r="K21" s="60" t="s">
        <v>118</v>
      </c>
      <c r="L21" s="273"/>
      <c r="M21" s="268"/>
      <c r="N21" s="272"/>
      <c r="O21" s="267"/>
      <c r="P21" s="268"/>
      <c r="Q21" s="276"/>
      <c r="R21" s="261"/>
      <c r="S21" s="262"/>
      <c r="T21" s="262"/>
      <c r="U21" s="288"/>
    </row>
    <row r="22" spans="2:21" ht="52.5" customHeight="1" x14ac:dyDescent="0.3">
      <c r="B22" s="275" t="s">
        <v>140</v>
      </c>
      <c r="C22" s="56" t="s">
        <v>141</v>
      </c>
      <c r="D22" s="56" t="s">
        <v>142</v>
      </c>
      <c r="E22" s="57">
        <v>0</v>
      </c>
      <c r="F22" s="57">
        <v>2</v>
      </c>
      <c r="G22" s="57">
        <v>2</v>
      </c>
      <c r="H22" s="57">
        <v>2</v>
      </c>
      <c r="I22" s="59">
        <f t="shared" si="0"/>
        <v>6</v>
      </c>
      <c r="J22" s="60" t="s">
        <v>112</v>
      </c>
      <c r="K22" s="60" t="s">
        <v>118</v>
      </c>
      <c r="L22" s="273">
        <v>8</v>
      </c>
      <c r="M22" s="257" t="s">
        <v>143</v>
      </c>
      <c r="N22" s="56" t="s">
        <v>144</v>
      </c>
      <c r="O22" s="59">
        <v>2</v>
      </c>
      <c r="P22" s="60" t="s">
        <v>116</v>
      </c>
      <c r="Q22" s="279">
        <f>R22+S22+T22</f>
        <v>753280000</v>
      </c>
      <c r="R22" s="261">
        <f>760000000-150000000-6720000</f>
        <v>603280000</v>
      </c>
      <c r="S22" s="274">
        <v>0</v>
      </c>
      <c r="T22" s="274">
        <v>150000000</v>
      </c>
      <c r="U22" s="287">
        <v>25000000</v>
      </c>
    </row>
    <row r="23" spans="2:21" ht="60" customHeight="1" x14ac:dyDescent="0.3">
      <c r="B23" s="275"/>
      <c r="C23" s="56" t="s">
        <v>145</v>
      </c>
      <c r="D23" s="56" t="s">
        <v>146</v>
      </c>
      <c r="E23" s="62">
        <v>1</v>
      </c>
      <c r="F23" s="62">
        <v>1</v>
      </c>
      <c r="G23" s="62">
        <v>1</v>
      </c>
      <c r="H23" s="62">
        <v>1</v>
      </c>
      <c r="I23" s="59">
        <f>SUM(E23:H23)</f>
        <v>4</v>
      </c>
      <c r="J23" s="60" t="s">
        <v>112</v>
      </c>
      <c r="K23" s="60" t="s">
        <v>118</v>
      </c>
      <c r="L23" s="273"/>
      <c r="M23" s="257"/>
      <c r="N23" s="56" t="s">
        <v>115</v>
      </c>
      <c r="O23" s="59">
        <v>1</v>
      </c>
      <c r="P23" s="60" t="s">
        <v>116</v>
      </c>
      <c r="Q23" s="279"/>
      <c r="R23" s="261"/>
      <c r="S23" s="274"/>
      <c r="T23" s="274"/>
      <c r="U23" s="287"/>
    </row>
    <row r="24" spans="2:21" ht="47.25" customHeight="1" x14ac:dyDescent="0.3">
      <c r="B24" s="275"/>
      <c r="C24" s="56" t="s">
        <v>147</v>
      </c>
      <c r="D24" s="56" t="s">
        <v>148</v>
      </c>
      <c r="E24" s="62">
        <v>2</v>
      </c>
      <c r="F24" s="62">
        <v>2</v>
      </c>
      <c r="G24" s="62">
        <v>2</v>
      </c>
      <c r="H24" s="62">
        <v>2</v>
      </c>
      <c r="I24" s="59">
        <f>SUM(E24:H24)</f>
        <v>8</v>
      </c>
      <c r="J24" s="60" t="s">
        <v>112</v>
      </c>
      <c r="K24" s="60" t="s">
        <v>118</v>
      </c>
      <c r="L24" s="273"/>
      <c r="M24" s="257"/>
      <c r="N24" s="56" t="s">
        <v>149</v>
      </c>
      <c r="O24" s="59">
        <v>2</v>
      </c>
      <c r="P24" s="60" t="s">
        <v>116</v>
      </c>
      <c r="Q24" s="279"/>
      <c r="R24" s="261"/>
      <c r="S24" s="274"/>
      <c r="T24" s="274"/>
      <c r="U24" s="287"/>
    </row>
    <row r="25" spans="2:21" ht="50.25" customHeight="1" x14ac:dyDescent="0.3">
      <c r="B25" s="275"/>
      <c r="C25" s="56" t="s">
        <v>150</v>
      </c>
      <c r="D25" s="56" t="s">
        <v>150</v>
      </c>
      <c r="E25" s="62">
        <v>0</v>
      </c>
      <c r="F25" s="62">
        <v>3</v>
      </c>
      <c r="G25" s="62">
        <v>4</v>
      </c>
      <c r="H25" s="62">
        <v>3</v>
      </c>
      <c r="I25" s="59">
        <f t="shared" si="0"/>
        <v>10</v>
      </c>
      <c r="J25" s="60" t="s">
        <v>112</v>
      </c>
      <c r="K25" s="60" t="s">
        <v>118</v>
      </c>
      <c r="L25" s="273"/>
      <c r="M25" s="257"/>
      <c r="N25" s="56" t="s">
        <v>150</v>
      </c>
      <c r="O25" s="88">
        <v>3</v>
      </c>
      <c r="P25" s="60" t="s">
        <v>116</v>
      </c>
      <c r="Q25" s="279"/>
      <c r="R25" s="261"/>
      <c r="S25" s="274"/>
      <c r="T25" s="274"/>
      <c r="U25" s="287"/>
    </row>
    <row r="26" spans="2:21" ht="69.75" customHeight="1" x14ac:dyDescent="0.3">
      <c r="B26" s="275"/>
      <c r="C26" s="56" t="s">
        <v>151</v>
      </c>
      <c r="D26" s="56" t="s">
        <v>152</v>
      </c>
      <c r="E26" s="57">
        <v>0</v>
      </c>
      <c r="F26" s="57">
        <v>1</v>
      </c>
      <c r="G26" s="57">
        <v>1</v>
      </c>
      <c r="H26" s="57">
        <v>1</v>
      </c>
      <c r="I26" s="59">
        <v>3</v>
      </c>
      <c r="J26" s="60" t="s">
        <v>112</v>
      </c>
      <c r="K26" s="60" t="s">
        <v>118</v>
      </c>
      <c r="L26" s="59">
        <v>9</v>
      </c>
      <c r="M26" s="61" t="s">
        <v>153</v>
      </c>
      <c r="N26" s="77" t="s">
        <v>115</v>
      </c>
      <c r="O26" s="88">
        <v>1</v>
      </c>
      <c r="P26" s="60" t="s">
        <v>116</v>
      </c>
      <c r="Q26" s="183">
        <f>R26+S26+T26</f>
        <v>0</v>
      </c>
      <c r="R26" s="63">
        <f>42000000+6720000-48720000</f>
        <v>0</v>
      </c>
      <c r="S26" s="82">
        <v>0</v>
      </c>
      <c r="T26" s="82">
        <v>0</v>
      </c>
      <c r="U26" s="64">
        <v>0</v>
      </c>
    </row>
    <row r="27" spans="2:21" x14ac:dyDescent="0.3">
      <c r="B27" s="282" t="s">
        <v>154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</row>
    <row r="28" spans="2:21" x14ac:dyDescent="0.3">
      <c r="B28" s="282" t="s">
        <v>155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</row>
    <row r="29" spans="2:21" x14ac:dyDescent="0.3">
      <c r="B29" s="284" t="s">
        <v>3</v>
      </c>
      <c r="C29" s="284"/>
      <c r="D29" s="284"/>
      <c r="E29" s="284"/>
      <c r="F29" s="284"/>
      <c r="G29" s="284"/>
      <c r="H29" s="284"/>
      <c r="I29" s="284"/>
      <c r="J29" s="284"/>
      <c r="K29" s="85"/>
      <c r="L29" s="284" t="s">
        <v>72</v>
      </c>
      <c r="M29" s="284"/>
      <c r="N29" s="284"/>
      <c r="O29" s="284"/>
      <c r="P29" s="284"/>
      <c r="Q29" s="285" t="s">
        <v>4</v>
      </c>
      <c r="R29" s="285"/>
      <c r="S29" s="285"/>
      <c r="T29" s="285"/>
      <c r="U29" s="286" t="s">
        <v>40</v>
      </c>
    </row>
    <row r="30" spans="2:21" ht="43.5" customHeight="1" x14ac:dyDescent="0.3">
      <c r="B30" s="86" t="s">
        <v>51</v>
      </c>
      <c r="C30" s="86" t="s">
        <v>12</v>
      </c>
      <c r="D30" s="86" t="s">
        <v>52</v>
      </c>
      <c r="E30" s="86" t="s">
        <v>24</v>
      </c>
      <c r="F30" s="86" t="s">
        <v>25</v>
      </c>
      <c r="G30" s="86" t="s">
        <v>26</v>
      </c>
      <c r="H30" s="86" t="s">
        <v>27</v>
      </c>
      <c r="I30" s="86" t="s">
        <v>28</v>
      </c>
      <c r="J30" s="86" t="s">
        <v>29</v>
      </c>
      <c r="K30" s="86" t="s">
        <v>47</v>
      </c>
      <c r="L30" s="87" t="s">
        <v>14</v>
      </c>
      <c r="M30" s="87" t="s">
        <v>31</v>
      </c>
      <c r="N30" s="87" t="s">
        <v>15</v>
      </c>
      <c r="O30" s="87" t="s">
        <v>16</v>
      </c>
      <c r="P30" s="86" t="s">
        <v>48</v>
      </c>
      <c r="Q30" s="87" t="s">
        <v>17</v>
      </c>
      <c r="R30" s="87" t="s">
        <v>18</v>
      </c>
      <c r="S30" s="87" t="s">
        <v>19</v>
      </c>
      <c r="T30" s="201" t="s">
        <v>361</v>
      </c>
      <c r="U30" s="286"/>
    </row>
    <row r="31" spans="2:21" ht="57.75" customHeight="1" x14ac:dyDescent="0.3">
      <c r="B31" s="275" t="s">
        <v>156</v>
      </c>
      <c r="C31" s="60" t="s">
        <v>157</v>
      </c>
      <c r="D31" s="60" t="s">
        <v>158</v>
      </c>
      <c r="E31" s="58">
        <v>5</v>
      </c>
      <c r="F31" s="58">
        <v>5</v>
      </c>
      <c r="G31" s="58">
        <v>5</v>
      </c>
      <c r="H31" s="58">
        <v>5</v>
      </c>
      <c r="I31" s="59">
        <f>SUM(E31:H31)</f>
        <v>20</v>
      </c>
      <c r="J31" s="60" t="s">
        <v>112</v>
      </c>
      <c r="K31" s="60" t="s">
        <v>118</v>
      </c>
      <c r="L31" s="264">
        <v>10</v>
      </c>
      <c r="M31" s="257" t="s">
        <v>159</v>
      </c>
      <c r="N31" s="60" t="s">
        <v>158</v>
      </c>
      <c r="O31" s="58">
        <v>5</v>
      </c>
      <c r="P31" s="60" t="s">
        <v>160</v>
      </c>
      <c r="Q31" s="294">
        <v>503000000</v>
      </c>
      <c r="R31" s="296">
        <f>503000000-42000000+6000000-66200000</f>
        <v>400800000</v>
      </c>
      <c r="S31" s="296">
        <v>0</v>
      </c>
      <c r="T31" s="296">
        <v>0</v>
      </c>
      <c r="U31" s="292">
        <v>0</v>
      </c>
    </row>
    <row r="32" spans="2:21" ht="66.75" customHeight="1" x14ac:dyDescent="0.3">
      <c r="B32" s="275"/>
      <c r="C32" s="60" t="s">
        <v>161</v>
      </c>
      <c r="D32" s="60" t="s">
        <v>162</v>
      </c>
      <c r="E32" s="58">
        <v>5</v>
      </c>
      <c r="F32" s="58">
        <v>5</v>
      </c>
      <c r="G32" s="58">
        <v>5</v>
      </c>
      <c r="H32" s="58">
        <v>5</v>
      </c>
      <c r="I32" s="59">
        <f>SUM(E32:H32)</f>
        <v>20</v>
      </c>
      <c r="J32" s="60" t="s">
        <v>112</v>
      </c>
      <c r="K32" s="60" t="s">
        <v>118</v>
      </c>
      <c r="L32" s="259"/>
      <c r="M32" s="257"/>
      <c r="N32" s="60" t="s">
        <v>163</v>
      </c>
      <c r="O32" s="58">
        <v>5</v>
      </c>
      <c r="P32" s="60" t="s">
        <v>164</v>
      </c>
      <c r="Q32" s="295"/>
      <c r="R32" s="297"/>
      <c r="S32" s="297"/>
      <c r="T32" s="297"/>
      <c r="U32" s="293"/>
    </row>
    <row r="33" spans="2:21" ht="128.25" customHeight="1" x14ac:dyDescent="0.3">
      <c r="B33" s="55" t="s">
        <v>165</v>
      </c>
      <c r="C33" s="60" t="s">
        <v>166</v>
      </c>
      <c r="D33" s="60" t="s">
        <v>167</v>
      </c>
      <c r="E33" s="58">
        <v>1</v>
      </c>
      <c r="F33" s="58">
        <v>0</v>
      </c>
      <c r="G33" s="58">
        <v>0</v>
      </c>
      <c r="H33" s="58">
        <v>0</v>
      </c>
      <c r="I33" s="59">
        <f>SUM(E33:H33)</f>
        <v>1</v>
      </c>
      <c r="J33" s="60" t="s">
        <v>112</v>
      </c>
      <c r="K33" s="60" t="s">
        <v>168</v>
      </c>
      <c r="L33" s="59">
        <v>11</v>
      </c>
      <c r="M33" s="151" t="s">
        <v>375</v>
      </c>
      <c r="N33" s="60" t="s">
        <v>115</v>
      </c>
      <c r="O33" s="83">
        <v>1</v>
      </c>
      <c r="P33" s="60" t="s">
        <v>169</v>
      </c>
      <c r="Q33" s="74">
        <f>R33+S33+T33</f>
        <v>36000000</v>
      </c>
      <c r="R33" s="64">
        <v>36000000</v>
      </c>
      <c r="S33" s="84">
        <v>0</v>
      </c>
      <c r="T33" s="84">
        <v>0</v>
      </c>
      <c r="U33" s="64">
        <v>0</v>
      </c>
    </row>
    <row r="34" spans="2:21" ht="15.5" x14ac:dyDescent="0.35">
      <c r="B34" s="289" t="s">
        <v>53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177">
        <f>SUM(R34:T34)</f>
        <v>2483443753</v>
      </c>
      <c r="R34" s="177">
        <f>SUBTOTAL(9,R10:R33)</f>
        <v>2183443753</v>
      </c>
      <c r="S34" s="177">
        <f>SUBTOTAL(9,S10:S33)</f>
        <v>0</v>
      </c>
      <c r="T34" s="177">
        <f>SUBTOTAL(9,T10:T33)</f>
        <v>300000000</v>
      </c>
      <c r="U34" s="177">
        <f>SUBTOTAL(9,U10:U33)</f>
        <v>452354732</v>
      </c>
    </row>
    <row r="41" spans="2:21" x14ac:dyDescent="0.3">
      <c r="P41" s="193"/>
    </row>
  </sheetData>
  <mergeCells count="74">
    <mergeCell ref="B31:B32"/>
    <mergeCell ref="M31:M32"/>
    <mergeCell ref="B34:P34"/>
    <mergeCell ref="L2:U2"/>
    <mergeCell ref="L3:U3"/>
    <mergeCell ref="U22:U25"/>
    <mergeCell ref="B27:U27"/>
    <mergeCell ref="B28:U28"/>
    <mergeCell ref="B29:J29"/>
    <mergeCell ref="L29:P29"/>
    <mergeCell ref="U31:U32"/>
    <mergeCell ref="L31:L32"/>
    <mergeCell ref="Q31:Q32"/>
    <mergeCell ref="R31:R32"/>
    <mergeCell ref="S31:S32"/>
    <mergeCell ref="T31:T32"/>
    <mergeCell ref="B14:B21"/>
    <mergeCell ref="U14:U15"/>
    <mergeCell ref="K16:K17"/>
    <mergeCell ref="U19:U21"/>
    <mergeCell ref="B11:B13"/>
    <mergeCell ref="Q14:Q15"/>
    <mergeCell ref="T19:T21"/>
    <mergeCell ref="T14:T15"/>
    <mergeCell ref="Q29:T29"/>
    <mergeCell ref="U29:U30"/>
    <mergeCell ref="U11:U12"/>
    <mergeCell ref="B6:U6"/>
    <mergeCell ref="B7:U7"/>
    <mergeCell ref="B8:U8"/>
    <mergeCell ref="B9:J9"/>
    <mergeCell ref="L9:P9"/>
    <mergeCell ref="Q9:T9"/>
    <mergeCell ref="U9:U10"/>
    <mergeCell ref="T22:T25"/>
    <mergeCell ref="J16:J17"/>
    <mergeCell ref="B22:B26"/>
    <mergeCell ref="M22:M25"/>
    <mergeCell ref="Q19:Q21"/>
    <mergeCell ref="R19:R21"/>
    <mergeCell ref="S19:S21"/>
    <mergeCell ref="C16:C17"/>
    <mergeCell ref="D16:D17"/>
    <mergeCell ref="M19:M21"/>
    <mergeCell ref="L22:L25"/>
    <mergeCell ref="Q22:Q25"/>
    <mergeCell ref="R22:R25"/>
    <mergeCell ref="L19:L21"/>
    <mergeCell ref="S22:S25"/>
    <mergeCell ref="N19:N21"/>
    <mergeCell ref="P19:P21"/>
    <mergeCell ref="E16:E17"/>
    <mergeCell ref="F16:F17"/>
    <mergeCell ref="M14:M15"/>
    <mergeCell ref="C14:C15"/>
    <mergeCell ref="N14:N15"/>
    <mergeCell ref="G16:G17"/>
    <mergeCell ref="H16:H17"/>
    <mergeCell ref="I16:I17"/>
    <mergeCell ref="O19:O21"/>
    <mergeCell ref="P14:P15"/>
    <mergeCell ref="T11:T12"/>
    <mergeCell ref="O14:O15"/>
    <mergeCell ref="M11:M12"/>
    <mergeCell ref="L11:L12"/>
    <mergeCell ref="N11:N12"/>
    <mergeCell ref="O11:O12"/>
    <mergeCell ref="R14:R15"/>
    <mergeCell ref="S14:S15"/>
    <mergeCell ref="P11:P12"/>
    <mergeCell ref="L14:L15"/>
    <mergeCell ref="Q11:Q12"/>
    <mergeCell ref="R11:R12"/>
    <mergeCell ref="S11:S12"/>
  </mergeCells>
  <conditionalFormatting sqref="O18">
    <cfRule type="expression" dxfId="130" priority="7" stopIfTrue="1">
      <formula>+IF((#REF!+#REF!+#REF!+#REF!+#REF!)&lt;&gt;$L19,1,0)</formula>
    </cfRule>
  </conditionalFormatting>
  <conditionalFormatting sqref="E11:H12">
    <cfRule type="expression" dxfId="129" priority="76" stopIfTrue="1">
      <formula>+IF((#REF!+#REF!+#REF!+#REF!+#REF!)&lt;&gt;$L11,1,0)</formula>
    </cfRule>
  </conditionalFormatting>
  <conditionalFormatting sqref="E33">
    <cfRule type="expression" dxfId="128" priority="75" stopIfTrue="1">
      <formula>+IF((#REF!+#REF!+#REF!+#REF!+#REF!)&lt;&gt;$L33,1,0)</formula>
    </cfRule>
  </conditionalFormatting>
  <conditionalFormatting sqref="C11:C12">
    <cfRule type="expression" dxfId="127" priority="74" stopIfTrue="1">
      <formula>+IF((#REF!+#REF!+#REF!+#REF!+#REF!)&lt;&gt;$M11,1,0)</formula>
    </cfRule>
  </conditionalFormatting>
  <conditionalFormatting sqref="D11:D12">
    <cfRule type="expression" dxfId="126" priority="73" stopIfTrue="1">
      <formula>+IF((#REF!+#REF!+#REF!+#REF!+#REF!)&lt;&gt;$M11,1,0)</formula>
    </cfRule>
  </conditionalFormatting>
  <conditionalFormatting sqref="C11:C12">
    <cfRule type="expression" dxfId="125" priority="72" stopIfTrue="1">
      <formula>+IF((#REF!+#REF!+#REF!+#REF!+#REF!)&lt;&gt;$M11,1,0)</formula>
    </cfRule>
  </conditionalFormatting>
  <conditionalFormatting sqref="D11:D12">
    <cfRule type="expression" dxfId="124" priority="71" stopIfTrue="1">
      <formula>+IF((#REF!+#REF!+#REF!+#REF!+#REF!)&lt;&gt;$M11,1,0)</formula>
    </cfRule>
  </conditionalFormatting>
  <conditionalFormatting sqref="E11:H12">
    <cfRule type="expression" dxfId="123" priority="70" stopIfTrue="1">
      <formula>+IF((#REF!+#REF!+#REF!+#REF!+#REF!)&lt;&gt;$L11,1,0)</formula>
    </cfRule>
  </conditionalFormatting>
  <conditionalFormatting sqref="F14:H15">
    <cfRule type="expression" dxfId="122" priority="69" stopIfTrue="1">
      <formula>+IF((#REF!+#REF!+#REF!+#REF!+#REF!)&lt;&gt;$M14,1,0)</formula>
    </cfRule>
  </conditionalFormatting>
  <conditionalFormatting sqref="D14:E15">
    <cfRule type="expression" dxfId="121" priority="68" stopIfTrue="1">
      <formula>+IF((#REF!+#REF!+#REF!+#REF!+#REF!)&lt;&gt;$N14,1,0)</formula>
    </cfRule>
  </conditionalFormatting>
  <conditionalFormatting sqref="E14:H15">
    <cfRule type="expression" dxfId="120" priority="67" stopIfTrue="1">
      <formula>+IF((#REF!+#REF!+#REF!+#REF!+#REF!)&lt;&gt;$M14,1,0)</formula>
    </cfRule>
  </conditionalFormatting>
  <conditionalFormatting sqref="N13:N14">
    <cfRule type="expression" dxfId="119" priority="66" stopIfTrue="1">
      <formula>+IF((#REF!+#REF!+#REF!+#REF!+#REF!)&lt;&gt;$M13,1,0)</formula>
    </cfRule>
  </conditionalFormatting>
  <conditionalFormatting sqref="E33">
    <cfRule type="expression" dxfId="118" priority="63" stopIfTrue="1">
      <formula>+IF((#REF!+#REF!+#REF!+#REF!+#REF!)&lt;&gt;$L33,1,0)</formula>
    </cfRule>
  </conditionalFormatting>
  <conditionalFormatting sqref="F19:H19 F21:H21">
    <cfRule type="expression" dxfId="117" priority="60" stopIfTrue="1">
      <formula>+IF((#REF!+#REF!+#REF!+#REF!+#REF!)&lt;&gt;$M19,1,0)</formula>
    </cfRule>
  </conditionalFormatting>
  <conditionalFormatting sqref="D19:E19 D21:E21">
    <cfRule type="expression" dxfId="116" priority="59" stopIfTrue="1">
      <formula>+IF((#REF!+#REF!+#REF!+#REF!+#REF!)&lt;&gt;$N19,1,0)</formula>
    </cfRule>
  </conditionalFormatting>
  <conditionalFormatting sqref="E19:H19 E21:H21">
    <cfRule type="expression" dxfId="115" priority="58" stopIfTrue="1">
      <formula>+IF((#REF!+#REF!+#REF!+#REF!+#REF!)&lt;&gt;$M19,1,0)</formula>
    </cfRule>
  </conditionalFormatting>
  <conditionalFormatting sqref="E25:H25">
    <cfRule type="expression" dxfId="114" priority="57" stopIfTrue="1">
      <formula>+IF((#REF!+#REF!+#REF!+#REF!+#REF!)&lt;&gt;$L25,1,0)</formula>
    </cfRule>
  </conditionalFormatting>
  <conditionalFormatting sqref="C25:D25">
    <cfRule type="expression" dxfId="113" priority="56" stopIfTrue="1">
      <formula>+IF((#REF!+#REF!+#REF!+#REF!+#REF!)&lt;&gt;$M25,1,0)</formula>
    </cfRule>
  </conditionalFormatting>
  <conditionalFormatting sqref="E25:H25">
    <cfRule type="expression" dxfId="112" priority="55" stopIfTrue="1">
      <formula>+IF((#REF!+#REF!+#REF!+#REF!+#REF!)&lt;&gt;$L25,1,0)</formula>
    </cfRule>
  </conditionalFormatting>
  <conditionalFormatting sqref="F22:H22">
    <cfRule type="expression" dxfId="111" priority="54" stopIfTrue="1">
      <formula>+IF((#REF!+#REF!+#REF!+#REF!+#REF!)&lt;&gt;$M22,1,0)</formula>
    </cfRule>
  </conditionalFormatting>
  <conditionalFormatting sqref="E22">
    <cfRule type="expression" dxfId="110" priority="53" stopIfTrue="1">
      <formula>+IF((#REF!+#REF!+#REF!+#REF!+#REF!)&lt;&gt;$N22,1,0)</formula>
    </cfRule>
  </conditionalFormatting>
  <conditionalFormatting sqref="E22:H22">
    <cfRule type="expression" dxfId="109" priority="52" stopIfTrue="1">
      <formula>+IF((#REF!+#REF!+#REF!+#REF!+#REF!)&lt;&gt;$M22,1,0)</formula>
    </cfRule>
  </conditionalFormatting>
  <conditionalFormatting sqref="C22">
    <cfRule type="expression" dxfId="108" priority="51" stopIfTrue="1">
      <formula>+IF((#REF!+#REF!+#REF!+#REF!+#REF!)&lt;&gt;$M22,1,0)</formula>
    </cfRule>
  </conditionalFormatting>
  <conditionalFormatting sqref="D22">
    <cfRule type="expression" dxfId="107" priority="50" stopIfTrue="1">
      <formula>+IF((#REF!+#REF!+#REF!+#REF!+#REF!)&lt;&gt;$M22,1,0)</formula>
    </cfRule>
  </conditionalFormatting>
  <conditionalFormatting sqref="F33:H33">
    <cfRule type="expression" dxfId="106" priority="49" stopIfTrue="1">
      <formula>+IF((#REF!+#REF!+#REF!+#REF!+#REF!)&lt;&gt;$L33,1,0)</formula>
    </cfRule>
  </conditionalFormatting>
  <conditionalFormatting sqref="F33:H33">
    <cfRule type="expression" dxfId="105" priority="46" stopIfTrue="1">
      <formula>+IF((#REF!+#REF!+#REF!+#REF!+#REF!)&lt;&gt;$L33,1,0)</formula>
    </cfRule>
  </conditionalFormatting>
  <conditionalFormatting sqref="N16:N17">
    <cfRule type="expression" dxfId="104" priority="42" stopIfTrue="1">
      <formula>+IF((#REF!+#REF!+#REF!+#REF!+#REF!)&lt;&gt;$N16,1,0)</formula>
    </cfRule>
  </conditionalFormatting>
  <conditionalFormatting sqref="E16:H16">
    <cfRule type="expression" dxfId="103" priority="43" stopIfTrue="1">
      <formula>+IF((#REF!+#REF!+#REF!+#REF!+#REF!)&lt;&gt;$M16,1,0)</formula>
    </cfRule>
  </conditionalFormatting>
  <conditionalFormatting sqref="F16:H16">
    <cfRule type="expression" dxfId="102" priority="45" stopIfTrue="1">
      <formula>+IF((#REF!+#REF!+#REF!+#REF!+#REF!)&lt;&gt;$M16,1,0)</formula>
    </cfRule>
  </conditionalFormatting>
  <conditionalFormatting sqref="D16:E16">
    <cfRule type="expression" dxfId="101" priority="44" stopIfTrue="1">
      <formula>+IF((#REF!+#REF!+#REF!+#REF!+#REF!)&lt;&gt;$N16,1,0)</formula>
    </cfRule>
  </conditionalFormatting>
  <conditionalFormatting sqref="E23:H23">
    <cfRule type="expression" dxfId="100" priority="41" stopIfTrue="1">
      <formula>+IF((#REF!+#REF!+#REF!+#REF!+#REF!)&lt;&gt;$L23,1,0)</formula>
    </cfRule>
  </conditionalFormatting>
  <conditionalFormatting sqref="C23">
    <cfRule type="expression" dxfId="99" priority="40" stopIfTrue="1">
      <formula>+IF((#REF!+#REF!+#REF!+#REF!+#REF!)&lt;&gt;$M23,1,0)</formula>
    </cfRule>
  </conditionalFormatting>
  <conditionalFormatting sqref="D23">
    <cfRule type="expression" dxfId="98" priority="39" stopIfTrue="1">
      <formula>+IF((#REF!+#REF!+#REF!+#REF!+#REF!)&lt;&gt;$M23,1,0)</formula>
    </cfRule>
  </conditionalFormatting>
  <conditionalFormatting sqref="E23:H23">
    <cfRule type="expression" dxfId="97" priority="38" stopIfTrue="1">
      <formula>+IF((#REF!+#REF!+#REF!+#REF!+#REF!)&lt;&gt;$L23,1,0)</formula>
    </cfRule>
  </conditionalFormatting>
  <conditionalFormatting sqref="E23:H23">
    <cfRule type="expression" dxfId="96" priority="37" stopIfTrue="1">
      <formula>+IF((#REF!+#REF!+#REF!+#REF!+#REF!)&lt;&gt;$L23,1,0)</formula>
    </cfRule>
  </conditionalFormatting>
  <conditionalFormatting sqref="C23">
    <cfRule type="expression" dxfId="95" priority="36" stopIfTrue="1">
      <formula>+IF((#REF!+#REF!+#REF!+#REF!+#REF!)&lt;&gt;$M23,1,0)</formula>
    </cfRule>
  </conditionalFormatting>
  <conditionalFormatting sqref="D23">
    <cfRule type="expression" dxfId="94" priority="35" stopIfTrue="1">
      <formula>+IF((#REF!+#REF!+#REF!+#REF!+#REF!)&lt;&gt;$M23,1,0)</formula>
    </cfRule>
  </conditionalFormatting>
  <conditionalFormatting sqref="F26:H26">
    <cfRule type="expression" dxfId="93" priority="34" stopIfTrue="1">
      <formula>+IF((#REF!+#REF!+#REF!+#REF!+#REF!)&lt;&gt;$M26,1,0)</formula>
    </cfRule>
  </conditionalFormatting>
  <conditionalFormatting sqref="E26">
    <cfRule type="expression" dxfId="92" priority="33" stopIfTrue="1">
      <formula>+IF((#REF!+#REF!+#REF!+#REF!+#REF!)&lt;&gt;$N26,1,0)</formula>
    </cfRule>
  </conditionalFormatting>
  <conditionalFormatting sqref="E26:H26">
    <cfRule type="expression" dxfId="91" priority="32" stopIfTrue="1">
      <formula>+IF((#REF!+#REF!+#REF!+#REF!+#REF!)&lt;&gt;$M26,1,0)</formula>
    </cfRule>
  </conditionalFormatting>
  <conditionalFormatting sqref="C26">
    <cfRule type="expression" dxfId="90" priority="31" stopIfTrue="1">
      <formula>+IF((#REF!+#REF!+#REF!+#REF!+#REF!)&lt;&gt;$M26,1,0)</formula>
    </cfRule>
  </conditionalFormatting>
  <conditionalFormatting sqref="D26">
    <cfRule type="expression" dxfId="89" priority="30" stopIfTrue="1">
      <formula>+IF((#REF!+#REF!+#REF!+#REF!+#REF!)&lt;&gt;$M26,1,0)</formula>
    </cfRule>
  </conditionalFormatting>
  <conditionalFormatting sqref="E24:H24">
    <cfRule type="expression" dxfId="88" priority="29" stopIfTrue="1">
      <formula>+IF((#REF!+#REF!+#REF!+#REF!+#REF!)&lt;&gt;$L24,1,0)</formula>
    </cfRule>
  </conditionalFormatting>
  <conditionalFormatting sqref="C24:D24">
    <cfRule type="expression" dxfId="87" priority="28" stopIfTrue="1">
      <formula>+IF((#REF!+#REF!+#REF!+#REF!+#REF!)&lt;&gt;$M24,1,0)</formula>
    </cfRule>
  </conditionalFormatting>
  <conditionalFormatting sqref="E24:H24">
    <cfRule type="expression" dxfId="86" priority="27" stopIfTrue="1">
      <formula>+IF((#REF!+#REF!+#REF!+#REF!+#REF!)&lt;&gt;$L24,1,0)</formula>
    </cfRule>
  </conditionalFormatting>
  <conditionalFormatting sqref="G24">
    <cfRule type="expression" dxfId="85" priority="26" stopIfTrue="1">
      <formula>+IF((#REF!+#REF!+#REF!+#REF!+#REF!)&lt;&gt;$L24,1,0)</formula>
    </cfRule>
  </conditionalFormatting>
  <conditionalFormatting sqref="G24">
    <cfRule type="expression" dxfId="84" priority="25" stopIfTrue="1">
      <formula>+IF((#REF!+#REF!+#REF!+#REF!+#REF!)&lt;&gt;$L24,1,0)</formula>
    </cfRule>
  </conditionalFormatting>
  <conditionalFormatting sqref="H24">
    <cfRule type="expression" dxfId="83" priority="24" stopIfTrue="1">
      <formula>+IF((#REF!+#REF!+#REF!+#REF!+#REF!)&lt;&gt;$L24,1,0)</formula>
    </cfRule>
  </conditionalFormatting>
  <conditionalFormatting sqref="H24">
    <cfRule type="expression" dxfId="82" priority="23" stopIfTrue="1">
      <formula>+IF((#REF!+#REF!+#REF!+#REF!+#REF!)&lt;&gt;$L24,1,0)</formula>
    </cfRule>
  </conditionalFormatting>
  <conditionalFormatting sqref="M24">
    <cfRule type="expression" dxfId="81" priority="22" stopIfTrue="1">
      <formula>+IF((#REF!+#REF!+#REF!+#REF!+#REF!)&lt;&gt;$M24,1,0)</formula>
    </cfRule>
  </conditionalFormatting>
  <conditionalFormatting sqref="N22:N24">
    <cfRule type="expression" dxfId="80" priority="21" stopIfTrue="1">
      <formula>+IF((#REF!+#REF!+#REF!+#REF!+#REF!)&lt;&gt;$M22,1,0)</formula>
    </cfRule>
  </conditionalFormatting>
  <conditionalFormatting sqref="O22:O24">
    <cfRule type="expression" dxfId="79" priority="20" stopIfTrue="1">
      <formula>+IF((#REF!+#REF!+#REF!+#REF!+#REF!)&lt;&gt;$L22,1,0)</formula>
    </cfRule>
  </conditionalFormatting>
  <conditionalFormatting sqref="O22:O24">
    <cfRule type="expression" dxfId="78" priority="19" stopIfTrue="1">
      <formula>+IF((#REF!+#REF!+#REF!+#REF!+#REF!)&lt;&gt;$L22,1,0)</formula>
    </cfRule>
  </conditionalFormatting>
  <conditionalFormatting sqref="F18:H18">
    <cfRule type="expression" dxfId="77" priority="18" stopIfTrue="1">
      <formula>+IF((#REF!+#REF!+#REF!+#REF!+#REF!)&lt;&gt;$M18,1,0)</formula>
    </cfRule>
  </conditionalFormatting>
  <conditionalFormatting sqref="D18:E18">
    <cfRule type="expression" dxfId="76" priority="17" stopIfTrue="1">
      <formula>+IF((#REF!+#REF!+#REF!+#REF!+#REF!)&lt;&gt;$N18,1,0)</formula>
    </cfRule>
  </conditionalFormatting>
  <conditionalFormatting sqref="E18:H18">
    <cfRule type="expression" dxfId="75" priority="16" stopIfTrue="1">
      <formula>+IF((#REF!+#REF!+#REF!+#REF!+#REF!)&lt;&gt;$M18,1,0)</formula>
    </cfRule>
  </conditionalFormatting>
  <conditionalFormatting sqref="N25">
    <cfRule type="expression" dxfId="74" priority="15" stopIfTrue="1">
      <formula>+IF((#REF!+#REF!+#REF!+#REF!+#REF!)&lt;&gt;$M25,1,0)</formula>
    </cfRule>
  </conditionalFormatting>
  <conditionalFormatting sqref="F20:H20">
    <cfRule type="expression" dxfId="73" priority="12" stopIfTrue="1">
      <formula>+IF((#REF!+#REF!+#REF!+#REF!+#REF!)&lt;&gt;$M20,1,0)</formula>
    </cfRule>
  </conditionalFormatting>
  <conditionalFormatting sqref="D20:E20">
    <cfRule type="expression" dxfId="72" priority="11" stopIfTrue="1">
      <formula>+IF((#REF!+#REF!+#REF!+#REF!+#REF!)&lt;&gt;$N20,1,0)</formula>
    </cfRule>
  </conditionalFormatting>
  <conditionalFormatting sqref="E20:H20">
    <cfRule type="expression" dxfId="71" priority="10" stopIfTrue="1">
      <formula>+IF((#REF!+#REF!+#REF!+#REF!+#REF!)&lt;&gt;$M20,1,0)</formula>
    </cfRule>
  </conditionalFormatting>
  <conditionalFormatting sqref="N18">
    <cfRule type="expression" dxfId="70" priority="9" stopIfTrue="1">
      <formula>+IF((#REF!+#REF!+#REF!+#REF!+#REF!)&lt;&gt;$M19,1,0)</formula>
    </cfRule>
  </conditionalFormatting>
  <conditionalFormatting sqref="O18">
    <cfRule type="expression" dxfId="69" priority="8" stopIfTrue="1">
      <formula>+IF((#REF!+#REF!+#REF!+#REF!+#REF!)&lt;&gt;$L19,1,0)</formula>
    </cfRule>
  </conditionalFormatting>
  <conditionalFormatting sqref="N11">
    <cfRule type="expression" dxfId="68" priority="149" stopIfTrue="1">
      <formula>+IF((#REF!+#REF!+#REF!+#REF!+#REF!)&lt;&gt;#REF!,1,0)</formula>
    </cfRule>
  </conditionalFormatting>
  <conditionalFormatting sqref="E32">
    <cfRule type="expression" dxfId="67" priority="151" stopIfTrue="1">
      <formula>+IF((#REF!+#REF!+#REF!+#REF!+#REF!)&lt;&gt;$L31,1,0)</formula>
    </cfRule>
  </conditionalFormatting>
  <conditionalFormatting sqref="E31">
    <cfRule type="expression" dxfId="66" priority="152" stopIfTrue="1">
      <formula>+IF((#REF!+#REF!+#REF!+#REF!+#REF!)&lt;&gt;#REF!,1,0)</formula>
    </cfRule>
  </conditionalFormatting>
  <conditionalFormatting sqref="E31">
    <cfRule type="expression" dxfId="65" priority="153" stopIfTrue="1">
      <formula>+IF((#REF!+#REF!+#REF!+#REF!+#REF!)&lt;&gt;#REF!,1,0)</formula>
    </cfRule>
  </conditionalFormatting>
  <conditionalFormatting sqref="E32">
    <cfRule type="expression" dxfId="64" priority="154" stopIfTrue="1">
      <formula>+IF((#REF!+#REF!+#REF!+#REF!+#REF!)&lt;&gt;$L31,1,0)</formula>
    </cfRule>
  </conditionalFormatting>
  <conditionalFormatting sqref="F32:H32">
    <cfRule type="expression" dxfId="63" priority="156" stopIfTrue="1">
      <formula>+IF((#REF!+#REF!+#REF!+#REF!+#REF!)&lt;&gt;$L31,1,0)</formula>
    </cfRule>
  </conditionalFormatting>
  <conditionalFormatting sqref="F31:H31">
    <cfRule type="expression" dxfId="62" priority="157" stopIfTrue="1">
      <formula>+IF((#REF!+#REF!+#REF!+#REF!+#REF!)&lt;&gt;#REF!,1,0)</formula>
    </cfRule>
  </conditionalFormatting>
  <conditionalFormatting sqref="F31:H31">
    <cfRule type="expression" dxfId="61" priority="158" stopIfTrue="1">
      <formula>+IF((#REF!+#REF!+#REF!+#REF!+#REF!)&lt;&gt;#REF!,1,0)</formula>
    </cfRule>
  </conditionalFormatting>
  <conditionalFormatting sqref="F32:H32">
    <cfRule type="expression" dxfId="60" priority="159" stopIfTrue="1">
      <formula>+IF((#REF!+#REF!+#REF!+#REF!+#REF!)&lt;&gt;$L31,1,0)</formula>
    </cfRule>
  </conditionalFormatting>
  <conditionalFormatting sqref="O31">
    <cfRule type="expression" dxfId="59" priority="160" stopIfTrue="1">
      <formula>+IF((#REF!+#REF!+#REF!+#REF!+#REF!)&lt;&gt;#REF!,1,0)</formula>
    </cfRule>
  </conditionalFormatting>
  <conditionalFormatting sqref="O32">
    <cfRule type="expression" dxfId="58" priority="161" stopIfTrue="1">
      <formula>+IF((#REF!+#REF!+#REF!+#REF!+#REF!)&lt;&gt;$L31,1,0)</formula>
    </cfRule>
  </conditionalFormatting>
  <conditionalFormatting sqref="C13">
    <cfRule type="expression" dxfId="57" priority="6" stopIfTrue="1">
      <formula>+IF((#REF!+#REF!+#REF!+#REF!+#REF!)&lt;&gt;$M13,1,0)</formula>
    </cfRule>
  </conditionalFormatting>
  <conditionalFormatting sqref="C13">
    <cfRule type="expression" dxfId="56" priority="5" stopIfTrue="1">
      <formula>+IF((#REF!+#REF!+#REF!+#REF!+#REF!)&lt;&gt;$M13,1,0)</formula>
    </cfRule>
  </conditionalFormatting>
  <conditionalFormatting sqref="D13">
    <cfRule type="expression" dxfId="55" priority="4" stopIfTrue="1">
      <formula>+IF((#REF!+#REF!+#REF!+#REF!+#REF!)&lt;&gt;$M13,1,0)</formula>
    </cfRule>
  </conditionalFormatting>
  <conditionalFormatting sqref="D13">
    <cfRule type="expression" dxfId="54" priority="3" stopIfTrue="1">
      <formula>+IF((#REF!+#REF!+#REF!+#REF!+#REF!)&lt;&gt;$M13,1,0)</formula>
    </cfRule>
  </conditionalFormatting>
  <conditionalFormatting sqref="E13:H13">
    <cfRule type="expression" dxfId="53" priority="2" stopIfTrue="1">
      <formula>+IF((#REF!+#REF!+#REF!+#REF!+#REF!)&lt;&gt;$L13,1,0)</formula>
    </cfRule>
  </conditionalFormatting>
  <conditionalFormatting sqref="E13:H13">
    <cfRule type="expression" dxfId="52" priority="1" stopIfTrue="1">
      <formula>+IF((#REF!+#REF!+#REF!+#REF!+#REF!)&lt;&gt;$L13,1,0)</formula>
    </cfRule>
  </conditionalFormatting>
  <dataValidations count="6">
    <dataValidation type="list" allowBlank="1" showInputMessage="1" showErrorMessage="1" sqref="J23">
      <formula1>$U$41:$U$49</formula1>
    </dataValidation>
    <dataValidation type="list" allowBlank="1" showInputMessage="1" showErrorMessage="1" sqref="K23 K20">
      <formula1>$I$35:$I$39</formula1>
    </dataValidation>
    <dataValidation type="list" allowBlank="1" showInputMessage="1" showErrorMessage="1" sqref="P22:P26 P16:P18 P11 P13:P14">
      <formula1>$Q$47:$Q$72</formula1>
    </dataValidation>
    <dataValidation type="list" allowBlank="1" showInputMessage="1" showErrorMessage="1" sqref="K31:K33 K21:K22 K18:K19 K24:K26 K11:K16">
      <formula1>$I$41:$I$45</formula1>
    </dataValidation>
    <dataValidation type="list" allowBlank="1" showInputMessage="1" showErrorMessage="1" sqref="J31:J33 J18:J22 J24:J26 J11:J16">
      <formula1>$U$47:$U$55</formula1>
    </dataValidation>
    <dataValidation type="list" allowBlank="1" showInputMessage="1" showErrorMessage="1" sqref="P31:P33">
      <formula1>$Q$52:$Q$77</formula1>
    </dataValidation>
  </dataValidations>
  <pageMargins left="0.7" right="0.7" top="0.75" bottom="0.75" header="0.3" footer="0.3"/>
  <pageSetup orientation="portrait" verticalDpi="0" r:id="rId1"/>
  <ignoredErrors>
    <ignoredError sqref="Q13:Q14 Q16:Q19 Q26 Q33 Q22:R22 U14 Q11 U17 R31 R16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30"/>
  <sheetViews>
    <sheetView topLeftCell="C13" workbookViewId="0">
      <selection activeCell="M18" sqref="M18:M19"/>
    </sheetView>
  </sheetViews>
  <sheetFormatPr baseColWidth="10" defaultColWidth="11.453125" defaultRowHeight="14" x14ac:dyDescent="0.3"/>
  <cols>
    <col min="1" max="1" width="11.453125" style="163"/>
    <col min="2" max="2" width="21.1796875" style="163" customWidth="1"/>
    <col min="3" max="3" width="20" style="163" customWidth="1"/>
    <col min="4" max="4" width="11.453125" style="163"/>
    <col min="5" max="5" width="6.7265625" style="163" customWidth="1"/>
    <col min="6" max="6" width="6" style="163" customWidth="1"/>
    <col min="7" max="7" width="6.1796875" style="163" customWidth="1"/>
    <col min="8" max="8" width="6.453125" style="163" customWidth="1"/>
    <col min="9" max="10" width="11.453125" style="163"/>
    <col min="11" max="11" width="13.81640625" style="163" customWidth="1"/>
    <col min="12" max="12" width="5.1796875" style="163" customWidth="1"/>
    <col min="13" max="13" width="15.26953125" style="163" customWidth="1"/>
    <col min="14" max="14" width="14.7265625" style="163" customWidth="1"/>
    <col min="15" max="15" width="11.453125" style="163"/>
    <col min="16" max="16" width="15.54296875" style="163" customWidth="1"/>
    <col min="17" max="17" width="17.1796875" style="163" customWidth="1"/>
    <col min="18" max="18" width="16.26953125" style="163" customWidth="1"/>
    <col min="19" max="19" width="14" style="163" customWidth="1"/>
    <col min="20" max="20" width="18.1796875" style="163" customWidth="1"/>
    <col min="21" max="21" width="17.54296875" style="163" customWidth="1"/>
    <col min="22" max="16384" width="11.453125" style="163"/>
  </cols>
  <sheetData>
    <row r="2" spans="2:21" ht="18" x14ac:dyDescent="0.4">
      <c r="R2" s="319" t="s">
        <v>325</v>
      </c>
      <c r="S2" s="319"/>
      <c r="T2" s="319"/>
      <c r="U2" s="319"/>
    </row>
    <row r="3" spans="2:21" x14ac:dyDescent="0.3">
      <c r="L3" s="320" t="s">
        <v>0</v>
      </c>
      <c r="M3" s="320"/>
      <c r="N3" s="320"/>
      <c r="O3" s="320"/>
      <c r="P3" s="320"/>
      <c r="Q3" s="320"/>
      <c r="R3" s="320"/>
      <c r="S3" s="320"/>
      <c r="T3" s="320"/>
      <c r="U3" s="320"/>
    </row>
    <row r="4" spans="2:21" ht="33.75" customHeight="1" x14ac:dyDescent="0.3">
      <c r="L4" s="329"/>
      <c r="M4" s="329"/>
      <c r="N4" s="329"/>
      <c r="O4" s="329"/>
      <c r="P4" s="329"/>
      <c r="Q4" s="329"/>
      <c r="R4" s="329"/>
      <c r="S4" s="329"/>
      <c r="T4" s="329"/>
      <c r="U4" s="329"/>
    </row>
    <row r="5" spans="2:21" x14ac:dyDescent="0.3">
      <c r="B5" s="282" t="s">
        <v>23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2:21" x14ac:dyDescent="0.3">
      <c r="B6" s="282" t="s">
        <v>34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1" x14ac:dyDescent="0.3">
      <c r="B7" s="282" t="s">
        <v>35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</row>
    <row r="8" spans="2:21" x14ac:dyDescent="0.3">
      <c r="B8" s="284" t="s">
        <v>3</v>
      </c>
      <c r="C8" s="284"/>
      <c r="D8" s="284"/>
      <c r="E8" s="284"/>
      <c r="F8" s="284"/>
      <c r="G8" s="284"/>
      <c r="H8" s="284"/>
      <c r="I8" s="284"/>
      <c r="J8" s="284"/>
      <c r="K8" s="136"/>
      <c r="L8" s="284" t="s">
        <v>72</v>
      </c>
      <c r="M8" s="284"/>
      <c r="N8" s="284"/>
      <c r="O8" s="284"/>
      <c r="P8" s="284"/>
      <c r="Q8" s="285" t="s">
        <v>4</v>
      </c>
      <c r="R8" s="285"/>
      <c r="S8" s="285"/>
      <c r="T8" s="285"/>
      <c r="U8" s="286" t="s">
        <v>40</v>
      </c>
    </row>
    <row r="9" spans="2:21" ht="42.75" customHeight="1" x14ac:dyDescent="0.3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137" t="s">
        <v>48</v>
      </c>
      <c r="Q9" s="87" t="s">
        <v>17</v>
      </c>
      <c r="R9" s="87" t="s">
        <v>18</v>
      </c>
      <c r="S9" s="87" t="s">
        <v>19</v>
      </c>
      <c r="T9" s="200" t="s">
        <v>361</v>
      </c>
      <c r="U9" s="286"/>
    </row>
    <row r="10" spans="2:21" x14ac:dyDescent="0.3">
      <c r="B10" s="275" t="s">
        <v>242</v>
      </c>
      <c r="C10" s="323" t="s">
        <v>243</v>
      </c>
      <c r="D10" s="323" t="s">
        <v>244</v>
      </c>
      <c r="E10" s="272">
        <v>4</v>
      </c>
      <c r="F10" s="272">
        <v>4</v>
      </c>
      <c r="G10" s="272">
        <v>4</v>
      </c>
      <c r="H10" s="272">
        <v>4</v>
      </c>
      <c r="I10" s="273">
        <f>SUM(E10:H10)</f>
        <v>16</v>
      </c>
      <c r="J10" s="321" t="s">
        <v>245</v>
      </c>
      <c r="K10" s="321" t="s">
        <v>113</v>
      </c>
      <c r="L10" s="273">
        <v>1</v>
      </c>
      <c r="M10" s="322" t="s">
        <v>246</v>
      </c>
      <c r="N10" s="257" t="s">
        <v>244</v>
      </c>
      <c r="O10" s="267">
        <v>4</v>
      </c>
      <c r="P10" s="321" t="s">
        <v>247</v>
      </c>
      <c r="Q10" s="274">
        <f>R10+S10+T10</f>
        <v>2855000000</v>
      </c>
      <c r="R10" s="262">
        <f>2905000000-50000000-343998590</f>
        <v>2511001410</v>
      </c>
      <c r="S10" s="262">
        <v>0</v>
      </c>
      <c r="T10" s="262">
        <v>343998590</v>
      </c>
      <c r="U10" s="262">
        <v>0</v>
      </c>
    </row>
    <row r="11" spans="2:21" ht="62.25" customHeight="1" x14ac:dyDescent="0.3">
      <c r="B11" s="275"/>
      <c r="C11" s="323"/>
      <c r="D11" s="323"/>
      <c r="E11" s="272"/>
      <c r="F11" s="272"/>
      <c r="G11" s="272"/>
      <c r="H11" s="272"/>
      <c r="I11" s="273"/>
      <c r="J11" s="321"/>
      <c r="K11" s="321"/>
      <c r="L11" s="273"/>
      <c r="M11" s="322"/>
      <c r="N11" s="257"/>
      <c r="O11" s="267"/>
      <c r="P11" s="321"/>
      <c r="Q11" s="274"/>
      <c r="R11" s="262"/>
      <c r="S11" s="262"/>
      <c r="T11" s="262"/>
      <c r="U11" s="262"/>
    </row>
    <row r="12" spans="2:21" ht="177.75" customHeight="1" x14ac:dyDescent="0.3">
      <c r="B12" s="55" t="s">
        <v>248</v>
      </c>
      <c r="C12" s="56" t="s">
        <v>249</v>
      </c>
      <c r="D12" s="56" t="s">
        <v>250</v>
      </c>
      <c r="E12" s="131">
        <v>0.1</v>
      </c>
      <c r="F12" s="222">
        <v>0.05</v>
      </c>
      <c r="G12" s="131">
        <v>0.15</v>
      </c>
      <c r="H12" s="131">
        <v>0.1</v>
      </c>
      <c r="I12" s="132">
        <f>SUM(E12:H12)</f>
        <v>0.4</v>
      </c>
      <c r="J12" s="60" t="s">
        <v>245</v>
      </c>
      <c r="K12" s="60" t="s">
        <v>113</v>
      </c>
      <c r="L12" s="273"/>
      <c r="M12" s="322"/>
      <c r="N12" s="60" t="s">
        <v>251</v>
      </c>
      <c r="O12" s="182">
        <v>0.05</v>
      </c>
      <c r="P12" s="321"/>
      <c r="Q12" s="274"/>
      <c r="R12" s="262"/>
      <c r="S12" s="262"/>
      <c r="T12" s="262"/>
      <c r="U12" s="262"/>
    </row>
    <row r="13" spans="2:21" x14ac:dyDescent="0.3">
      <c r="B13" s="282" t="s">
        <v>202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</row>
    <row r="14" spans="2:21" x14ac:dyDescent="0.3">
      <c r="B14" s="282" t="s">
        <v>203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</row>
    <row r="15" spans="2:21" x14ac:dyDescent="0.3">
      <c r="B15" s="282" t="s">
        <v>204</v>
      </c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</row>
    <row r="16" spans="2:21" x14ac:dyDescent="0.3">
      <c r="B16" s="284" t="s">
        <v>3</v>
      </c>
      <c r="C16" s="284"/>
      <c r="D16" s="284"/>
      <c r="E16" s="284"/>
      <c r="F16" s="284"/>
      <c r="G16" s="284"/>
      <c r="H16" s="284"/>
      <c r="I16" s="284"/>
      <c r="J16" s="284"/>
      <c r="K16" s="136"/>
      <c r="L16" s="284" t="s">
        <v>72</v>
      </c>
      <c r="M16" s="284"/>
      <c r="N16" s="284"/>
      <c r="O16" s="284"/>
      <c r="P16" s="284"/>
      <c r="Q16" s="285" t="s">
        <v>4</v>
      </c>
      <c r="R16" s="285"/>
      <c r="S16" s="285"/>
      <c r="T16" s="285"/>
      <c r="U16" s="286" t="s">
        <v>40</v>
      </c>
    </row>
    <row r="17" spans="2:21" ht="51" customHeight="1" x14ac:dyDescent="0.3">
      <c r="B17" s="86" t="s">
        <v>51</v>
      </c>
      <c r="C17" s="86" t="s">
        <v>12</v>
      </c>
      <c r="D17" s="86" t="s">
        <v>52</v>
      </c>
      <c r="E17" s="86" t="s">
        <v>24</v>
      </c>
      <c r="F17" s="86" t="s">
        <v>25</v>
      </c>
      <c r="G17" s="86" t="s">
        <v>26</v>
      </c>
      <c r="H17" s="86" t="s">
        <v>27</v>
      </c>
      <c r="I17" s="86" t="s">
        <v>28</v>
      </c>
      <c r="J17" s="86" t="s">
        <v>29</v>
      </c>
      <c r="K17" s="86" t="s">
        <v>47</v>
      </c>
      <c r="L17" s="87" t="s">
        <v>14</v>
      </c>
      <c r="M17" s="87" t="s">
        <v>31</v>
      </c>
      <c r="N17" s="87" t="s">
        <v>15</v>
      </c>
      <c r="O17" s="87" t="s">
        <v>16</v>
      </c>
      <c r="P17" s="137" t="s">
        <v>48</v>
      </c>
      <c r="Q17" s="87" t="s">
        <v>17</v>
      </c>
      <c r="R17" s="87" t="s">
        <v>18</v>
      </c>
      <c r="S17" s="87" t="s">
        <v>19</v>
      </c>
      <c r="T17" s="201" t="s">
        <v>361</v>
      </c>
      <c r="U17" s="286"/>
    </row>
    <row r="18" spans="2:21" ht="40.5" customHeight="1" x14ac:dyDescent="0.3">
      <c r="B18" s="327" t="s">
        <v>252</v>
      </c>
      <c r="C18" s="60" t="s">
        <v>253</v>
      </c>
      <c r="D18" s="77" t="s">
        <v>254</v>
      </c>
      <c r="E18" s="83">
        <v>1</v>
      </c>
      <c r="F18" s="83">
        <v>1</v>
      </c>
      <c r="G18" s="58">
        <v>1</v>
      </c>
      <c r="H18" s="58">
        <v>1</v>
      </c>
      <c r="I18" s="59">
        <f>SUM(E18:H18)</f>
        <v>4</v>
      </c>
      <c r="J18" s="257" t="s">
        <v>245</v>
      </c>
      <c r="K18" s="257" t="s">
        <v>113</v>
      </c>
      <c r="L18" s="273">
        <v>2</v>
      </c>
      <c r="M18" s="257" t="s">
        <v>255</v>
      </c>
      <c r="N18" s="328" t="s">
        <v>241</v>
      </c>
      <c r="O18" s="330">
        <v>3</v>
      </c>
      <c r="P18" s="257" t="s">
        <v>247</v>
      </c>
      <c r="Q18" s="274">
        <f>R18+S18+T18</f>
        <v>751815040</v>
      </c>
      <c r="R18" s="324">
        <f>756000000-630000000-4184960</f>
        <v>121815040</v>
      </c>
      <c r="S18" s="325">
        <v>0</v>
      </c>
      <c r="T18" s="325">
        <v>630000000</v>
      </c>
      <c r="U18" s="292">
        <v>30000000</v>
      </c>
    </row>
    <row r="19" spans="2:21" ht="57.5" x14ac:dyDescent="0.3">
      <c r="B19" s="327"/>
      <c r="C19" s="60" t="s">
        <v>256</v>
      </c>
      <c r="D19" s="77" t="s">
        <v>257</v>
      </c>
      <c r="E19" s="83">
        <v>0</v>
      </c>
      <c r="F19" s="83">
        <v>0</v>
      </c>
      <c r="G19" s="58">
        <v>0</v>
      </c>
      <c r="H19" s="58">
        <v>1</v>
      </c>
      <c r="I19" s="59">
        <f>H19</f>
        <v>1</v>
      </c>
      <c r="J19" s="257"/>
      <c r="K19" s="257"/>
      <c r="L19" s="273"/>
      <c r="M19" s="257"/>
      <c r="N19" s="328"/>
      <c r="O19" s="331"/>
      <c r="P19" s="257"/>
      <c r="Q19" s="274"/>
      <c r="R19" s="324"/>
      <c r="S19" s="326"/>
      <c r="T19" s="326"/>
      <c r="U19" s="293"/>
    </row>
    <row r="20" spans="2:21" x14ac:dyDescent="0.3">
      <c r="B20" s="133" t="s">
        <v>258</v>
      </c>
      <c r="C20" s="134"/>
      <c r="D20" s="134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spans="2:21" x14ac:dyDescent="0.3">
      <c r="B21" s="282" t="s">
        <v>259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</row>
    <row r="22" spans="2:21" ht="92" x14ac:dyDescent="0.3">
      <c r="B22" s="55" t="s">
        <v>260</v>
      </c>
      <c r="C22" s="69" t="s">
        <v>261</v>
      </c>
      <c r="D22" s="60" t="s">
        <v>262</v>
      </c>
      <c r="E22" s="58">
        <v>1</v>
      </c>
      <c r="F22" s="58">
        <v>1</v>
      </c>
      <c r="G22" s="58">
        <v>1</v>
      </c>
      <c r="H22" s="58">
        <v>1</v>
      </c>
      <c r="I22" s="59">
        <f>SUM(E22:H22)</f>
        <v>4</v>
      </c>
      <c r="J22" s="60" t="s">
        <v>245</v>
      </c>
      <c r="K22" s="60" t="s">
        <v>113</v>
      </c>
      <c r="L22" s="59">
        <v>3</v>
      </c>
      <c r="M22" s="60" t="s">
        <v>263</v>
      </c>
      <c r="N22" s="61" t="s">
        <v>241</v>
      </c>
      <c r="O22" s="88">
        <v>4</v>
      </c>
      <c r="P22" s="60" t="s">
        <v>264</v>
      </c>
      <c r="Q22" s="82">
        <f>R22+S22+T22</f>
        <v>865684960</v>
      </c>
      <c r="R22" s="64">
        <f>911500000-50000000+4184960</f>
        <v>865684960</v>
      </c>
      <c r="S22" s="64">
        <v>0</v>
      </c>
      <c r="T22" s="64">
        <v>0</v>
      </c>
      <c r="U22" s="64">
        <f>85489529-9184900+19184000</f>
        <v>95488629</v>
      </c>
    </row>
    <row r="23" spans="2:21" x14ac:dyDescent="0.3">
      <c r="B23" s="282" t="s">
        <v>265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</row>
    <row r="24" spans="2:21" x14ac:dyDescent="0.3">
      <c r="B24" s="282" t="s">
        <v>154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</row>
    <row r="25" spans="2:21" x14ac:dyDescent="0.3">
      <c r="B25" s="282" t="s">
        <v>155</v>
      </c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</row>
    <row r="26" spans="2:21" ht="67.5" customHeight="1" x14ac:dyDescent="0.3">
      <c r="B26" s="310" t="s">
        <v>156</v>
      </c>
      <c r="C26" s="313" t="s">
        <v>266</v>
      </c>
      <c r="D26" s="60" t="s">
        <v>267</v>
      </c>
      <c r="E26" s="83">
        <v>3</v>
      </c>
      <c r="F26" s="83">
        <v>3</v>
      </c>
      <c r="G26" s="83">
        <v>3</v>
      </c>
      <c r="H26" s="83">
        <v>3</v>
      </c>
      <c r="I26" s="59">
        <f>SUM(E26:H26)</f>
        <v>12</v>
      </c>
      <c r="J26" s="60" t="s">
        <v>245</v>
      </c>
      <c r="K26" s="280" t="s">
        <v>118</v>
      </c>
      <c r="L26" s="264">
        <v>4</v>
      </c>
      <c r="M26" s="280" t="s">
        <v>268</v>
      </c>
      <c r="N26" s="60" t="s">
        <v>241</v>
      </c>
      <c r="O26" s="138">
        <v>3</v>
      </c>
      <c r="P26" s="300" t="s">
        <v>269</v>
      </c>
      <c r="Q26" s="303">
        <f>R26+S26+T26</f>
        <v>771498590</v>
      </c>
      <c r="R26" s="296">
        <f>827500000-56001410-526001410</f>
        <v>245497180</v>
      </c>
      <c r="S26" s="296">
        <v>0</v>
      </c>
      <c r="T26" s="296">
        <v>526001410</v>
      </c>
      <c r="U26" s="296">
        <v>0</v>
      </c>
    </row>
    <row r="27" spans="2:21" ht="16.5" customHeight="1" x14ac:dyDescent="0.3">
      <c r="B27" s="311"/>
      <c r="C27" s="314"/>
      <c r="D27" s="280" t="s">
        <v>270</v>
      </c>
      <c r="E27" s="307">
        <v>3</v>
      </c>
      <c r="F27" s="316">
        <v>0</v>
      </c>
      <c r="G27" s="307">
        <v>3</v>
      </c>
      <c r="H27" s="307">
        <v>2</v>
      </c>
      <c r="I27" s="264">
        <f>SUM(E27:H27)</f>
        <v>8</v>
      </c>
      <c r="J27" s="280" t="s">
        <v>245</v>
      </c>
      <c r="K27" s="299"/>
      <c r="L27" s="258"/>
      <c r="M27" s="299"/>
      <c r="N27" s="257" t="s">
        <v>271</v>
      </c>
      <c r="O27" s="306">
        <v>3</v>
      </c>
      <c r="P27" s="301"/>
      <c r="Q27" s="304"/>
      <c r="R27" s="298"/>
      <c r="S27" s="298"/>
      <c r="T27" s="298"/>
      <c r="U27" s="298"/>
    </row>
    <row r="28" spans="2:21" ht="23.25" customHeight="1" x14ac:dyDescent="0.3">
      <c r="B28" s="311"/>
      <c r="C28" s="314"/>
      <c r="D28" s="299"/>
      <c r="E28" s="308"/>
      <c r="F28" s="317"/>
      <c r="G28" s="308"/>
      <c r="H28" s="308"/>
      <c r="I28" s="258"/>
      <c r="J28" s="299"/>
      <c r="K28" s="299"/>
      <c r="L28" s="258"/>
      <c r="M28" s="299"/>
      <c r="N28" s="257"/>
      <c r="O28" s="306"/>
      <c r="P28" s="301"/>
      <c r="Q28" s="304"/>
      <c r="R28" s="298"/>
      <c r="S28" s="298"/>
      <c r="T28" s="298"/>
      <c r="U28" s="298"/>
    </row>
    <row r="29" spans="2:21" ht="71.25" customHeight="1" x14ac:dyDescent="0.3">
      <c r="B29" s="312"/>
      <c r="C29" s="315"/>
      <c r="D29" s="281"/>
      <c r="E29" s="309"/>
      <c r="F29" s="318"/>
      <c r="G29" s="309"/>
      <c r="H29" s="309"/>
      <c r="I29" s="259"/>
      <c r="J29" s="281"/>
      <c r="K29" s="281"/>
      <c r="L29" s="259"/>
      <c r="M29" s="281"/>
      <c r="N29" s="60" t="s">
        <v>357</v>
      </c>
      <c r="O29" s="181">
        <v>50</v>
      </c>
      <c r="P29" s="302"/>
      <c r="Q29" s="305"/>
      <c r="R29" s="297"/>
      <c r="S29" s="297"/>
      <c r="T29" s="297"/>
      <c r="U29" s="297"/>
    </row>
    <row r="30" spans="2:21" ht="15.5" x14ac:dyDescent="0.35">
      <c r="B30" s="289" t="s">
        <v>53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139">
        <f>Q26+Q22+Q18+Q10</f>
        <v>5243998590</v>
      </c>
      <c r="R30" s="139">
        <f>R26+R22+R18+R10</f>
        <v>3743998590</v>
      </c>
      <c r="S30" s="177">
        <f>SUM(S10:S28)</f>
        <v>0</v>
      </c>
      <c r="T30" s="130">
        <f>SUM(T10:T28)</f>
        <v>1500000000</v>
      </c>
      <c r="U30" s="130">
        <f>SUM(U10:U28)</f>
        <v>125488629</v>
      </c>
    </row>
  </sheetData>
  <mergeCells count="75">
    <mergeCell ref="B30:P30"/>
    <mergeCell ref="L4:U4"/>
    <mergeCell ref="N27:N28"/>
    <mergeCell ref="U18:U19"/>
    <mergeCell ref="B21:U21"/>
    <mergeCell ref="B23:U23"/>
    <mergeCell ref="B24:U24"/>
    <mergeCell ref="B25:U25"/>
    <mergeCell ref="O18:O19"/>
    <mergeCell ref="P18:P19"/>
    <mergeCell ref="Q18:Q19"/>
    <mergeCell ref="R18:R19"/>
    <mergeCell ref="S18:S19"/>
    <mergeCell ref="T18:T19"/>
    <mergeCell ref="B18:B19"/>
    <mergeCell ref="J18:J19"/>
    <mergeCell ref="K18:K19"/>
    <mergeCell ref="L18:L19"/>
    <mergeCell ref="M18:M19"/>
    <mergeCell ref="N18:N19"/>
    <mergeCell ref="U16:U17"/>
    <mergeCell ref="N10:N11"/>
    <mergeCell ref="O10:O11"/>
    <mergeCell ref="P10:P12"/>
    <mergeCell ref="Q10:Q12"/>
    <mergeCell ref="R10:R12"/>
    <mergeCell ref="T10:T12"/>
    <mergeCell ref="U10:U12"/>
    <mergeCell ref="B13:U13"/>
    <mergeCell ref="B14:U14"/>
    <mergeCell ref="B15:U15"/>
    <mergeCell ref="B10:B11"/>
    <mergeCell ref="C10:C11"/>
    <mergeCell ref="D10:D11"/>
    <mergeCell ref="E10:E11"/>
    <mergeCell ref="F10:F11"/>
    <mergeCell ref="M10:M12"/>
    <mergeCell ref="G10:G11"/>
    <mergeCell ref="B16:J16"/>
    <mergeCell ref="L16:P16"/>
    <mergeCell ref="Q16:T16"/>
    <mergeCell ref="G27:G29"/>
    <mergeCell ref="R2:U2"/>
    <mergeCell ref="B5:U5"/>
    <mergeCell ref="B6:U6"/>
    <mergeCell ref="B7:U7"/>
    <mergeCell ref="B8:J8"/>
    <mergeCell ref="L8:P8"/>
    <mergeCell ref="Q8:T8"/>
    <mergeCell ref="U8:U9"/>
    <mergeCell ref="L3:U3"/>
    <mergeCell ref="S10:S12"/>
    <mergeCell ref="H10:H11"/>
    <mergeCell ref="I10:I11"/>
    <mergeCell ref="J10:J11"/>
    <mergeCell ref="K10:K11"/>
    <mergeCell ref="L10:L12"/>
    <mergeCell ref="B26:B29"/>
    <mergeCell ref="C26:C29"/>
    <mergeCell ref="D27:D29"/>
    <mergeCell ref="E27:E29"/>
    <mergeCell ref="F27:F29"/>
    <mergeCell ref="H27:H29"/>
    <mergeCell ref="I27:I29"/>
    <mergeCell ref="J27:J29"/>
    <mergeCell ref="K26:K29"/>
    <mergeCell ref="S26:S29"/>
    <mergeCell ref="U26:U29"/>
    <mergeCell ref="L26:L29"/>
    <mergeCell ref="M26:M29"/>
    <mergeCell ref="P26:P29"/>
    <mergeCell ref="Q26:Q29"/>
    <mergeCell ref="R26:R29"/>
    <mergeCell ref="O27:O28"/>
    <mergeCell ref="T26:T29"/>
  </mergeCells>
  <conditionalFormatting sqref="E26:H26 E27">
    <cfRule type="expression" dxfId="51" priority="14" stopIfTrue="1">
      <formula>+IF((#REF!+#REF!+#REF!+#REF!+#REF!)&lt;&gt;$L26,1,0)</formula>
    </cfRule>
  </conditionalFormatting>
  <conditionalFormatting sqref="C12">
    <cfRule type="expression" dxfId="50" priority="13" stopIfTrue="1">
      <formula>+IF((#REF!+#REF!+#REF!+#REF!+#REF!)&lt;&gt;$M12,1,0)</formula>
    </cfRule>
  </conditionalFormatting>
  <conditionalFormatting sqref="D12">
    <cfRule type="expression" dxfId="49" priority="12" stopIfTrue="1">
      <formula>+IF((#REF!+#REF!+#REF!+#REF!+#REF!)&lt;&gt;$M12,1,0)</formula>
    </cfRule>
  </conditionalFormatting>
  <conditionalFormatting sqref="C12">
    <cfRule type="expression" dxfId="48" priority="11" stopIfTrue="1">
      <formula>+IF((#REF!+#REF!+#REF!+#REF!+#REF!)&lt;&gt;$M12,1,0)</formula>
    </cfRule>
  </conditionalFormatting>
  <conditionalFormatting sqref="D12">
    <cfRule type="expression" dxfId="47" priority="10" stopIfTrue="1">
      <formula>+IF((#REF!+#REF!+#REF!+#REF!+#REF!)&lt;&gt;$M12,1,0)</formula>
    </cfRule>
  </conditionalFormatting>
  <conditionalFormatting sqref="E22">
    <cfRule type="expression" dxfId="46" priority="9" stopIfTrue="1">
      <formula>+IF((#REF!+#REF!+#REF!+#REF!+#REF!)&lt;&gt;$L22,1,0)</formula>
    </cfRule>
  </conditionalFormatting>
  <conditionalFormatting sqref="F22:G22">
    <cfRule type="expression" dxfId="45" priority="8" stopIfTrue="1">
      <formula>+IF((#REF!+#REF!+#REF!+#REF!+#REF!)&lt;&gt;$L22,1,0)</formula>
    </cfRule>
  </conditionalFormatting>
  <conditionalFormatting sqref="C11">
    <cfRule type="expression" dxfId="44" priority="15" stopIfTrue="1">
      <formula>+IF((#REF!+#REF!+#REF!+#REF!+#REF!)&lt;&gt;$M10,1,0)</formula>
    </cfRule>
  </conditionalFormatting>
  <conditionalFormatting sqref="C10">
    <cfRule type="expression" dxfId="43" priority="16" stopIfTrue="1">
      <formula>+IF((#REF!+#REF!+#REF!+#REF!+#REF!)&lt;&gt;#REF!,1,0)</formula>
    </cfRule>
  </conditionalFormatting>
  <conditionalFormatting sqref="C11">
    <cfRule type="expression" dxfId="42" priority="17" stopIfTrue="1">
      <formula>+IF((#REF!+#REF!+#REF!+#REF!+#REF!)&lt;&gt;$N10,1,0)</formula>
    </cfRule>
  </conditionalFormatting>
  <conditionalFormatting sqref="C11">
    <cfRule type="expression" dxfId="41" priority="18" stopIfTrue="1">
      <formula>+IF((#REF!+#REF!+#REF!+#REF!+#REF!)&lt;&gt;$N10,1,0)</formula>
    </cfRule>
  </conditionalFormatting>
  <conditionalFormatting sqref="F27:H27">
    <cfRule type="expression" dxfId="40" priority="7" stopIfTrue="1">
      <formula>+IF((#REF!+#REF!+#REF!+#REF!+#REF!)&lt;&gt;$L27,1,0)</formula>
    </cfRule>
  </conditionalFormatting>
  <conditionalFormatting sqref="D10">
    <cfRule type="expression" dxfId="39" priority="6" stopIfTrue="1">
      <formula>+IF((#REF!+#REF!+#REF!+#REF!+#REF!)&lt;&gt;$M10,1,0)</formula>
    </cfRule>
  </conditionalFormatting>
  <conditionalFormatting sqref="D10">
    <cfRule type="expression" dxfId="38" priority="5" stopIfTrue="1">
      <formula>+IF((#REF!+#REF!+#REF!+#REF!+#REF!)&lt;&gt;$M10,1,0)</formula>
    </cfRule>
  </conditionalFormatting>
  <conditionalFormatting sqref="E12:H12">
    <cfRule type="expression" dxfId="37" priority="4" stopIfTrue="1">
      <formula>+IF((#REF!+#REF!+#REF!+#REF!+#REF!)&lt;&gt;$L12,1,0)</formula>
    </cfRule>
  </conditionalFormatting>
  <conditionalFormatting sqref="E12:H12">
    <cfRule type="expression" dxfId="36" priority="3" stopIfTrue="1">
      <formula>+IF((#REF!+#REF!+#REF!+#REF!+#REF!)&lt;&gt;$L12,1,0)</formula>
    </cfRule>
  </conditionalFormatting>
  <conditionalFormatting sqref="D22">
    <cfRule type="expression" dxfId="35" priority="2" stopIfTrue="1">
      <formula>+IF((#REF!+#REF!+#REF!+#REF!+#REF!)&lt;&gt;$M22,1,0)</formula>
    </cfRule>
  </conditionalFormatting>
  <conditionalFormatting sqref="O22">
    <cfRule type="expression" dxfId="34" priority="1" stopIfTrue="1">
      <formula>+IF((#REF!+#REF!+#REF!+#REF!+#REF!)&lt;&gt;$L22,1,0)</formula>
    </cfRule>
  </conditionalFormatting>
  <dataValidations count="4">
    <dataValidation type="list" allowBlank="1" showInputMessage="1" showErrorMessage="1" sqref="J18">
      <formula1>$U$40:$U$48</formula1>
    </dataValidation>
    <dataValidation type="list" allowBlank="1" showInputMessage="1" showErrorMessage="1" sqref="P26 P22 P10 P18">
      <formula1>$Q$32:$Q$57</formula1>
    </dataValidation>
    <dataValidation type="list" allowBlank="1" showInputMessage="1" showErrorMessage="1" sqref="K10 K12 K22 K26 K18">
      <formula1>$I$35:$I$39</formula1>
    </dataValidation>
    <dataValidation type="list" allowBlank="1" showInputMessage="1" showErrorMessage="1" sqref="J10 J22 J12 J26:J27">
      <formula1>$U$41:$U$49</formula1>
    </dataValidation>
  </dataValidations>
  <pageMargins left="0.7" right="0.7" top="0.75" bottom="0.75" header="0.3" footer="0.3"/>
  <ignoredErrors>
    <ignoredError sqref="Q26 Q22 Q10:R10 Q18 Q30:R30" unlocked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W65"/>
  <sheetViews>
    <sheetView topLeftCell="J7" zoomScaleNormal="100" workbookViewId="0">
      <selection activeCell="R9" sqref="R9"/>
    </sheetView>
  </sheetViews>
  <sheetFormatPr baseColWidth="10" defaultRowHeight="14.5" x14ac:dyDescent="0.35"/>
  <cols>
    <col min="2" max="2" width="21.453125" customWidth="1"/>
    <col min="3" max="3" width="18.7265625" customWidth="1"/>
    <col min="4" max="4" width="19" customWidth="1"/>
    <col min="5" max="5" width="7" customWidth="1"/>
    <col min="6" max="7" width="6.54296875" customWidth="1"/>
    <col min="8" max="8" width="5.81640625" customWidth="1"/>
    <col min="11" max="11" width="25.453125" customWidth="1"/>
    <col min="12" max="12" width="6.1796875" customWidth="1"/>
    <col min="13" max="13" width="23.26953125" customWidth="1"/>
    <col min="14" max="14" width="19.81640625" customWidth="1"/>
    <col min="15" max="15" width="9.7265625" customWidth="1"/>
    <col min="16" max="16" width="20.81640625" customWidth="1"/>
    <col min="17" max="17" width="16.81640625" customWidth="1"/>
    <col min="18" max="18" width="18.26953125" customWidth="1"/>
    <col min="19" max="19" width="16.26953125" customWidth="1"/>
    <col min="20" max="20" width="16" customWidth="1"/>
    <col min="21" max="21" width="18.26953125" customWidth="1"/>
    <col min="23" max="23" width="15.1796875" bestFit="1" customWidth="1"/>
  </cols>
  <sheetData>
    <row r="1" spans="1:21" ht="15.5" x14ac:dyDescent="0.35">
      <c r="N1" s="351" t="s">
        <v>0</v>
      </c>
      <c r="O1" s="351"/>
      <c r="P1" s="351"/>
      <c r="Q1" s="351"/>
      <c r="R1" s="351"/>
      <c r="S1" s="351"/>
      <c r="T1" s="351"/>
      <c r="U1" s="351"/>
    </row>
    <row r="2" spans="1:21" ht="18.5" x14ac:dyDescent="0.45">
      <c r="R2" s="337" t="s">
        <v>326</v>
      </c>
      <c r="S2" s="337"/>
      <c r="T2" s="337"/>
      <c r="U2" s="337"/>
    </row>
    <row r="4" spans="1:21" x14ac:dyDescent="0.35">
      <c r="A4" s="163"/>
      <c r="B4" s="282" t="s">
        <v>171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</row>
    <row r="5" spans="1:21" x14ac:dyDescent="0.35">
      <c r="A5" s="163"/>
      <c r="B5" s="282" t="s">
        <v>172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1:21" x14ac:dyDescent="0.35">
      <c r="A6" s="163"/>
      <c r="B6" s="282" t="s">
        <v>173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1:21" x14ac:dyDescent="0.35">
      <c r="A7" s="163"/>
      <c r="B7" s="284" t="s">
        <v>3</v>
      </c>
      <c r="C7" s="284"/>
      <c r="D7" s="284"/>
      <c r="E7" s="284"/>
      <c r="F7" s="284"/>
      <c r="G7" s="284"/>
      <c r="H7" s="284"/>
      <c r="I7" s="284"/>
      <c r="J7" s="284"/>
      <c r="K7" s="85"/>
      <c r="L7" s="284" t="s">
        <v>72</v>
      </c>
      <c r="M7" s="284"/>
      <c r="N7" s="284"/>
      <c r="O7" s="284"/>
      <c r="P7" s="284"/>
      <c r="Q7" s="285" t="s">
        <v>4</v>
      </c>
      <c r="R7" s="285"/>
      <c r="S7" s="285"/>
      <c r="T7" s="285"/>
      <c r="U7" s="286" t="s">
        <v>40</v>
      </c>
    </row>
    <row r="8" spans="1:21" ht="52.5" customHeight="1" x14ac:dyDescent="0.35">
      <c r="A8" s="163"/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0" t="s">
        <v>361</v>
      </c>
      <c r="U8" s="286"/>
    </row>
    <row r="9" spans="1:21" ht="80.5" x14ac:dyDescent="0.35">
      <c r="A9" s="163"/>
      <c r="B9" s="327" t="s">
        <v>174</v>
      </c>
      <c r="C9" s="69" t="s">
        <v>175</v>
      </c>
      <c r="D9" s="60" t="s">
        <v>176</v>
      </c>
      <c r="E9" s="62">
        <v>24</v>
      </c>
      <c r="F9" s="62">
        <v>24</v>
      </c>
      <c r="G9" s="62">
        <v>24</v>
      </c>
      <c r="H9" s="62">
        <v>24</v>
      </c>
      <c r="I9" s="59">
        <f>SUM(E9:H9)</f>
        <v>96</v>
      </c>
      <c r="J9" s="60" t="s">
        <v>177</v>
      </c>
      <c r="K9" s="257" t="s">
        <v>30</v>
      </c>
      <c r="L9" s="59">
        <v>1</v>
      </c>
      <c r="M9" s="72" t="s">
        <v>178</v>
      </c>
      <c r="N9" s="61" t="s">
        <v>179</v>
      </c>
      <c r="O9" s="88">
        <v>24</v>
      </c>
      <c r="P9" s="61" t="s">
        <v>180</v>
      </c>
      <c r="Q9" s="66">
        <f>R9+S9+T9</f>
        <v>78336000</v>
      </c>
      <c r="R9" s="140">
        <f>78336000-26112000</f>
        <v>52224000</v>
      </c>
      <c r="S9" s="68">
        <v>0</v>
      </c>
      <c r="T9" s="68">
        <v>26112000</v>
      </c>
      <c r="U9" s="141">
        <v>0</v>
      </c>
    </row>
    <row r="10" spans="1:21" ht="46" x14ac:dyDescent="0.35">
      <c r="A10" s="163"/>
      <c r="B10" s="327"/>
      <c r="C10" s="69" t="s">
        <v>181</v>
      </c>
      <c r="D10" s="60" t="s">
        <v>182</v>
      </c>
      <c r="E10" s="62">
        <v>0</v>
      </c>
      <c r="F10" s="142">
        <v>0.25</v>
      </c>
      <c r="G10" s="142">
        <v>0.75</v>
      </c>
      <c r="H10" s="142">
        <v>0</v>
      </c>
      <c r="I10" s="132">
        <v>1</v>
      </c>
      <c r="J10" s="60" t="s">
        <v>177</v>
      </c>
      <c r="K10" s="257"/>
      <c r="L10" s="59">
        <v>2</v>
      </c>
      <c r="M10" s="75" t="s">
        <v>183</v>
      </c>
      <c r="N10" s="77" t="s">
        <v>184</v>
      </c>
      <c r="O10" s="89">
        <v>0.25</v>
      </c>
      <c r="P10" s="61" t="s">
        <v>180</v>
      </c>
      <c r="Q10" s="66">
        <f>R10+S10+T10</f>
        <v>0</v>
      </c>
      <c r="R10" s="140">
        <v>0</v>
      </c>
      <c r="S10" s="68">
        <v>0</v>
      </c>
      <c r="T10" s="68">
        <v>0</v>
      </c>
      <c r="U10" s="141">
        <v>0</v>
      </c>
    </row>
    <row r="11" spans="1:21" x14ac:dyDescent="0.35">
      <c r="A11" s="163"/>
      <c r="B11" s="282" t="s">
        <v>23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</row>
    <row r="12" spans="1:21" x14ac:dyDescent="0.35">
      <c r="A12" s="163"/>
      <c r="B12" s="282" t="s">
        <v>46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</row>
    <row r="13" spans="1:21" x14ac:dyDescent="0.35">
      <c r="A13" s="163"/>
      <c r="B13" s="282" t="s">
        <v>185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</row>
    <row r="14" spans="1:21" x14ac:dyDescent="0.35">
      <c r="A14" s="163"/>
      <c r="B14" s="284" t="s">
        <v>3</v>
      </c>
      <c r="C14" s="284"/>
      <c r="D14" s="284"/>
      <c r="E14" s="284"/>
      <c r="F14" s="284"/>
      <c r="G14" s="284"/>
      <c r="H14" s="284"/>
      <c r="I14" s="284"/>
      <c r="J14" s="284"/>
      <c r="K14" s="85"/>
      <c r="L14" s="284" t="s">
        <v>72</v>
      </c>
      <c r="M14" s="284"/>
      <c r="N14" s="284"/>
      <c r="O14" s="284"/>
      <c r="P14" s="284"/>
      <c r="Q14" s="285" t="s">
        <v>186</v>
      </c>
      <c r="R14" s="285"/>
      <c r="S14" s="285"/>
      <c r="T14" s="285"/>
      <c r="U14" s="286" t="s">
        <v>40</v>
      </c>
    </row>
    <row r="15" spans="1:21" ht="39.75" customHeight="1" x14ac:dyDescent="0.35">
      <c r="A15" s="163"/>
      <c r="B15" s="86" t="s">
        <v>51</v>
      </c>
      <c r="C15" s="86" t="s">
        <v>12</v>
      </c>
      <c r="D15" s="86" t="s">
        <v>52</v>
      </c>
      <c r="E15" s="86" t="s">
        <v>24</v>
      </c>
      <c r="F15" s="86" t="s">
        <v>25</v>
      </c>
      <c r="G15" s="86" t="s">
        <v>26</v>
      </c>
      <c r="H15" s="86" t="s">
        <v>27</v>
      </c>
      <c r="I15" s="86" t="s">
        <v>28</v>
      </c>
      <c r="J15" s="86" t="s">
        <v>29</v>
      </c>
      <c r="K15" s="86" t="s">
        <v>47</v>
      </c>
      <c r="L15" s="87" t="s">
        <v>14</v>
      </c>
      <c r="M15" s="87" t="s">
        <v>79</v>
      </c>
      <c r="N15" s="87" t="s">
        <v>15</v>
      </c>
      <c r="O15" s="87" t="s">
        <v>16</v>
      </c>
      <c r="P15" s="86" t="s">
        <v>48</v>
      </c>
      <c r="Q15" s="87" t="s">
        <v>17</v>
      </c>
      <c r="R15" s="87" t="s">
        <v>18</v>
      </c>
      <c r="S15" s="87" t="s">
        <v>19</v>
      </c>
      <c r="T15" s="201" t="s">
        <v>361</v>
      </c>
      <c r="U15" s="286"/>
    </row>
    <row r="16" spans="1:21" ht="79.5" customHeight="1" x14ac:dyDescent="0.35">
      <c r="A16" s="163"/>
      <c r="B16" s="275" t="s">
        <v>187</v>
      </c>
      <c r="C16" s="60" t="s">
        <v>188</v>
      </c>
      <c r="D16" s="60" t="s">
        <v>189</v>
      </c>
      <c r="E16" s="143">
        <v>1</v>
      </c>
      <c r="F16" s="143">
        <v>0</v>
      </c>
      <c r="G16" s="143">
        <v>1</v>
      </c>
      <c r="H16" s="143">
        <v>0</v>
      </c>
      <c r="I16" s="144">
        <f>SUM(E16:H16)</f>
        <v>2</v>
      </c>
      <c r="J16" s="60" t="s">
        <v>177</v>
      </c>
      <c r="K16" s="60" t="s">
        <v>30</v>
      </c>
      <c r="L16" s="59">
        <v>3</v>
      </c>
      <c r="M16" s="60" t="s">
        <v>190</v>
      </c>
      <c r="N16" s="60" t="s">
        <v>189</v>
      </c>
      <c r="O16" s="88">
        <v>1</v>
      </c>
      <c r="P16" s="60" t="s">
        <v>191</v>
      </c>
      <c r="Q16" s="145">
        <f>R16+S16+T16</f>
        <v>0</v>
      </c>
      <c r="R16" s="64">
        <v>0</v>
      </c>
      <c r="S16" s="64">
        <v>0</v>
      </c>
      <c r="T16" s="64">
        <v>0</v>
      </c>
      <c r="U16" s="64">
        <v>0</v>
      </c>
    </row>
    <row r="17" spans="1:23" ht="69.75" customHeight="1" x14ac:dyDescent="0.35">
      <c r="A17" s="163"/>
      <c r="B17" s="275"/>
      <c r="C17" s="60" t="s">
        <v>192</v>
      </c>
      <c r="D17" s="60" t="s">
        <v>193</v>
      </c>
      <c r="E17" s="58">
        <v>27</v>
      </c>
      <c r="F17" s="58">
        <v>27</v>
      </c>
      <c r="G17" s="58">
        <v>27</v>
      </c>
      <c r="H17" s="58">
        <v>27</v>
      </c>
      <c r="I17" s="59">
        <v>27</v>
      </c>
      <c r="J17" s="60" t="s">
        <v>177</v>
      </c>
      <c r="K17" s="60" t="s">
        <v>113</v>
      </c>
      <c r="L17" s="59">
        <v>4</v>
      </c>
      <c r="M17" s="60" t="s">
        <v>194</v>
      </c>
      <c r="N17" s="60" t="s">
        <v>193</v>
      </c>
      <c r="O17" s="138">
        <f>E17</f>
        <v>27</v>
      </c>
      <c r="P17" s="60" t="s">
        <v>191</v>
      </c>
      <c r="Q17" s="145">
        <f>R17+S17+T17</f>
        <v>0</v>
      </c>
      <c r="R17" s="140">
        <v>0</v>
      </c>
      <c r="S17" s="64">
        <v>0</v>
      </c>
      <c r="T17" s="64">
        <v>0</v>
      </c>
      <c r="U17" s="84">
        <f>968658537-4000000</f>
        <v>964658537</v>
      </c>
    </row>
    <row r="18" spans="1:23" ht="90" customHeight="1" x14ac:dyDescent="0.35">
      <c r="A18" s="163"/>
      <c r="B18" s="327" t="s">
        <v>195</v>
      </c>
      <c r="C18" s="60" t="s">
        <v>196</v>
      </c>
      <c r="D18" s="60" t="s">
        <v>197</v>
      </c>
      <c r="E18" s="58">
        <v>0</v>
      </c>
      <c r="F18" s="58">
        <v>1</v>
      </c>
      <c r="G18" s="58">
        <v>0</v>
      </c>
      <c r="H18" s="58">
        <v>0</v>
      </c>
      <c r="I18" s="59">
        <f>SUM(E18:H18)</f>
        <v>1</v>
      </c>
      <c r="J18" s="60" t="s">
        <v>177</v>
      </c>
      <c r="K18" s="60" t="s">
        <v>30</v>
      </c>
      <c r="L18" s="273">
        <v>5</v>
      </c>
      <c r="M18" s="257" t="s">
        <v>196</v>
      </c>
      <c r="N18" s="257" t="s">
        <v>198</v>
      </c>
      <c r="O18" s="267">
        <v>1</v>
      </c>
      <c r="P18" s="257" t="s">
        <v>199</v>
      </c>
      <c r="Q18" s="260">
        <f>R18+S18+T18</f>
        <v>37785600</v>
      </c>
      <c r="R18" s="336">
        <v>37785600</v>
      </c>
      <c r="S18" s="262">
        <v>0</v>
      </c>
      <c r="T18" s="262">
        <v>0</v>
      </c>
      <c r="U18" s="262">
        <v>0</v>
      </c>
    </row>
    <row r="19" spans="1:23" ht="86.25" customHeight="1" x14ac:dyDescent="0.35">
      <c r="A19" s="163"/>
      <c r="B19" s="327"/>
      <c r="C19" s="60" t="s">
        <v>200</v>
      </c>
      <c r="D19" s="61" t="s">
        <v>201</v>
      </c>
      <c r="E19" s="62">
        <v>1</v>
      </c>
      <c r="F19" s="146">
        <v>0</v>
      </c>
      <c r="G19" s="146">
        <v>0</v>
      </c>
      <c r="H19" s="146">
        <v>0</v>
      </c>
      <c r="I19" s="59">
        <f>SUM(E19:H19)</f>
        <v>1</v>
      </c>
      <c r="J19" s="60" t="s">
        <v>177</v>
      </c>
      <c r="K19" s="60" t="s">
        <v>30</v>
      </c>
      <c r="L19" s="273"/>
      <c r="M19" s="257"/>
      <c r="N19" s="257"/>
      <c r="O19" s="267"/>
      <c r="P19" s="257"/>
      <c r="Q19" s="260"/>
      <c r="R19" s="336"/>
      <c r="S19" s="262"/>
      <c r="T19" s="262"/>
      <c r="U19" s="262"/>
    </row>
    <row r="20" spans="1:23" x14ac:dyDescent="0.35">
      <c r="A20" s="163"/>
      <c r="B20" s="282" t="s">
        <v>202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</row>
    <row r="21" spans="1:23" x14ac:dyDescent="0.35">
      <c r="A21" s="163"/>
      <c r="B21" s="282" t="s">
        <v>203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</row>
    <row r="22" spans="1:23" x14ac:dyDescent="0.35">
      <c r="A22" s="163"/>
      <c r="B22" s="282" t="s">
        <v>204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</row>
    <row r="23" spans="1:23" x14ac:dyDescent="0.35">
      <c r="A23" s="163"/>
      <c r="B23" s="284" t="s">
        <v>3</v>
      </c>
      <c r="C23" s="284"/>
      <c r="D23" s="284"/>
      <c r="E23" s="284"/>
      <c r="F23" s="284"/>
      <c r="G23" s="284"/>
      <c r="H23" s="284"/>
      <c r="I23" s="284"/>
      <c r="J23" s="284"/>
      <c r="K23" s="85"/>
      <c r="L23" s="284" t="s">
        <v>72</v>
      </c>
      <c r="M23" s="284"/>
      <c r="N23" s="284"/>
      <c r="O23" s="284"/>
      <c r="P23" s="284"/>
      <c r="Q23" s="285" t="s">
        <v>4</v>
      </c>
      <c r="R23" s="285"/>
      <c r="S23" s="285"/>
      <c r="T23" s="285"/>
      <c r="U23" s="285" t="s">
        <v>40</v>
      </c>
    </row>
    <row r="24" spans="1:23" ht="45" customHeight="1" x14ac:dyDescent="0.35">
      <c r="A24" s="163"/>
      <c r="B24" s="86" t="s">
        <v>51</v>
      </c>
      <c r="C24" s="86" t="s">
        <v>12</v>
      </c>
      <c r="D24" s="86" t="s">
        <v>52</v>
      </c>
      <c r="E24" s="86" t="s">
        <v>24</v>
      </c>
      <c r="F24" s="86" t="s">
        <v>25</v>
      </c>
      <c r="G24" s="86" t="s">
        <v>26</v>
      </c>
      <c r="H24" s="86" t="s">
        <v>27</v>
      </c>
      <c r="I24" s="86" t="s">
        <v>28</v>
      </c>
      <c r="J24" s="86" t="s">
        <v>29</v>
      </c>
      <c r="K24" s="86" t="s">
        <v>47</v>
      </c>
      <c r="L24" s="87" t="s">
        <v>14</v>
      </c>
      <c r="M24" s="150" t="s">
        <v>79</v>
      </c>
      <c r="N24" s="87" t="s">
        <v>15</v>
      </c>
      <c r="O24" s="87" t="s">
        <v>16</v>
      </c>
      <c r="P24" s="86" t="s">
        <v>48</v>
      </c>
      <c r="Q24" s="87" t="s">
        <v>17</v>
      </c>
      <c r="R24" s="87" t="s">
        <v>18</v>
      </c>
      <c r="S24" s="87" t="s">
        <v>19</v>
      </c>
      <c r="T24" s="201" t="s">
        <v>361</v>
      </c>
      <c r="U24" s="285"/>
    </row>
    <row r="25" spans="1:23" ht="15" customHeight="1" x14ac:dyDescent="0.35">
      <c r="A25" s="163"/>
      <c r="B25" s="338" t="s">
        <v>205</v>
      </c>
      <c r="C25" s="322" t="s">
        <v>206</v>
      </c>
      <c r="D25" s="321" t="s">
        <v>207</v>
      </c>
      <c r="E25" s="335">
        <v>4</v>
      </c>
      <c r="F25" s="335">
        <v>0</v>
      </c>
      <c r="G25" s="335">
        <v>0</v>
      </c>
      <c r="H25" s="335">
        <v>0</v>
      </c>
      <c r="I25" s="273">
        <f>SUM(E25:H25)</f>
        <v>4</v>
      </c>
      <c r="J25" s="321" t="s">
        <v>177</v>
      </c>
      <c r="K25" s="321" t="s">
        <v>30</v>
      </c>
      <c r="L25" s="273">
        <v>6</v>
      </c>
      <c r="M25" s="257" t="s">
        <v>218</v>
      </c>
      <c r="N25" s="257" t="s">
        <v>208</v>
      </c>
      <c r="O25" s="332">
        <v>1</v>
      </c>
      <c r="P25" s="300" t="s">
        <v>219</v>
      </c>
      <c r="Q25" s="342">
        <f>R25+S25+T25</f>
        <v>41472000</v>
      </c>
      <c r="R25" s="336">
        <v>41472000</v>
      </c>
      <c r="S25" s="262">
        <v>0</v>
      </c>
      <c r="T25" s="262">
        <v>0</v>
      </c>
      <c r="U25" s="262">
        <v>0</v>
      </c>
    </row>
    <row r="26" spans="1:23" ht="40.5" customHeight="1" x14ac:dyDescent="0.35">
      <c r="A26" s="163"/>
      <c r="B26" s="338"/>
      <c r="C26" s="322"/>
      <c r="D26" s="321"/>
      <c r="E26" s="335"/>
      <c r="F26" s="335"/>
      <c r="G26" s="335"/>
      <c r="H26" s="335"/>
      <c r="I26" s="273"/>
      <c r="J26" s="321"/>
      <c r="K26" s="321"/>
      <c r="L26" s="273"/>
      <c r="M26" s="257"/>
      <c r="N26" s="257"/>
      <c r="O26" s="332"/>
      <c r="P26" s="301"/>
      <c r="Q26" s="343"/>
      <c r="R26" s="336"/>
      <c r="S26" s="262"/>
      <c r="T26" s="262"/>
      <c r="U26" s="262"/>
    </row>
    <row r="27" spans="1:23" ht="25.5" customHeight="1" x14ac:dyDescent="0.35">
      <c r="A27" s="163"/>
      <c r="B27" s="338"/>
      <c r="C27" s="257" t="s">
        <v>209</v>
      </c>
      <c r="D27" s="257" t="s">
        <v>210</v>
      </c>
      <c r="E27" s="335">
        <v>0</v>
      </c>
      <c r="F27" s="335">
        <v>1</v>
      </c>
      <c r="G27" s="341">
        <v>0</v>
      </c>
      <c r="H27" s="341">
        <v>0</v>
      </c>
      <c r="I27" s="273">
        <v>1</v>
      </c>
      <c r="J27" s="268" t="s">
        <v>177</v>
      </c>
      <c r="K27" s="257" t="s">
        <v>30</v>
      </c>
      <c r="L27" s="273"/>
      <c r="M27" s="257"/>
      <c r="N27" s="257" t="s">
        <v>212</v>
      </c>
      <c r="O27" s="333">
        <v>0.25</v>
      </c>
      <c r="P27" s="301"/>
      <c r="Q27" s="343"/>
      <c r="R27" s="336"/>
      <c r="S27" s="262"/>
      <c r="T27" s="262"/>
      <c r="U27" s="262"/>
    </row>
    <row r="28" spans="1:23" ht="41.25" customHeight="1" x14ac:dyDescent="0.35">
      <c r="A28" s="163"/>
      <c r="B28" s="338"/>
      <c r="C28" s="257"/>
      <c r="D28" s="257"/>
      <c r="E28" s="335"/>
      <c r="F28" s="335"/>
      <c r="G28" s="341"/>
      <c r="H28" s="341"/>
      <c r="I28" s="273"/>
      <c r="J28" s="268"/>
      <c r="K28" s="257"/>
      <c r="L28" s="273"/>
      <c r="M28" s="257"/>
      <c r="N28" s="257"/>
      <c r="O28" s="333"/>
      <c r="P28" s="301"/>
      <c r="Q28" s="343"/>
      <c r="R28" s="336"/>
      <c r="S28" s="262"/>
      <c r="T28" s="262"/>
      <c r="U28" s="262"/>
    </row>
    <row r="29" spans="1:23" ht="58.5" customHeight="1" x14ac:dyDescent="0.35">
      <c r="A29" s="163"/>
      <c r="B29" s="338"/>
      <c r="C29" s="61" t="s">
        <v>211</v>
      </c>
      <c r="D29" s="61" t="s">
        <v>210</v>
      </c>
      <c r="E29" s="147">
        <v>0</v>
      </c>
      <c r="F29" s="148">
        <v>0.25</v>
      </c>
      <c r="G29" s="148">
        <v>0.75</v>
      </c>
      <c r="H29" s="148">
        <v>0</v>
      </c>
      <c r="I29" s="148">
        <v>1</v>
      </c>
      <c r="J29" s="60" t="s">
        <v>177</v>
      </c>
      <c r="K29" s="60" t="s">
        <v>30</v>
      </c>
      <c r="L29" s="273"/>
      <c r="M29" s="257"/>
      <c r="N29" s="61" t="s">
        <v>214</v>
      </c>
      <c r="O29" s="164">
        <v>1</v>
      </c>
      <c r="P29" s="302"/>
      <c r="Q29" s="344"/>
      <c r="R29" s="336"/>
      <c r="S29" s="262"/>
      <c r="T29" s="262"/>
      <c r="U29" s="262"/>
    </row>
    <row r="30" spans="1:23" ht="15" customHeight="1" x14ac:dyDescent="0.35">
      <c r="A30" s="163"/>
      <c r="B30" s="338"/>
      <c r="C30" s="280" t="s">
        <v>213</v>
      </c>
      <c r="D30" s="280" t="s">
        <v>210</v>
      </c>
      <c r="E30" s="339">
        <v>0</v>
      </c>
      <c r="F30" s="340">
        <v>0.25</v>
      </c>
      <c r="G30" s="340">
        <v>0.25</v>
      </c>
      <c r="H30" s="340">
        <v>0.5</v>
      </c>
      <c r="I30" s="340">
        <v>1</v>
      </c>
      <c r="J30" s="280" t="s">
        <v>177</v>
      </c>
      <c r="K30" s="268" t="s">
        <v>30</v>
      </c>
      <c r="L30" s="334">
        <v>7</v>
      </c>
      <c r="M30" s="280" t="s">
        <v>220</v>
      </c>
      <c r="N30" s="345" t="s">
        <v>216</v>
      </c>
      <c r="O30" s="332">
        <v>100</v>
      </c>
      <c r="P30" s="300" t="s">
        <v>219</v>
      </c>
      <c r="Q30" s="355">
        <f>R30+S30+T30</f>
        <v>1034250746</v>
      </c>
      <c r="R30" s="358">
        <f>1069706400-35455654-218488000-70400000</f>
        <v>745362746</v>
      </c>
      <c r="S30" s="352">
        <v>0</v>
      </c>
      <c r="T30" s="352">
        <v>288888000</v>
      </c>
      <c r="U30" s="348">
        <f>10000000+4000000+8000000</f>
        <v>22000000</v>
      </c>
    </row>
    <row r="31" spans="1:23" ht="45" customHeight="1" x14ac:dyDescent="0.35">
      <c r="A31" s="163"/>
      <c r="B31" s="338"/>
      <c r="C31" s="299"/>
      <c r="D31" s="299"/>
      <c r="E31" s="339"/>
      <c r="F31" s="340"/>
      <c r="G31" s="340"/>
      <c r="H31" s="340"/>
      <c r="I31" s="340"/>
      <c r="J31" s="299"/>
      <c r="K31" s="268"/>
      <c r="L31" s="334"/>
      <c r="M31" s="299"/>
      <c r="N31" s="346"/>
      <c r="O31" s="332"/>
      <c r="P31" s="301"/>
      <c r="Q31" s="356"/>
      <c r="R31" s="359"/>
      <c r="S31" s="353"/>
      <c r="T31" s="353"/>
      <c r="U31" s="349"/>
      <c r="W31" s="190"/>
    </row>
    <row r="32" spans="1:23" x14ac:dyDescent="0.35">
      <c r="A32" s="163"/>
      <c r="B32" s="338"/>
      <c r="C32" s="299"/>
      <c r="D32" s="299"/>
      <c r="E32" s="339"/>
      <c r="F32" s="340"/>
      <c r="G32" s="340"/>
      <c r="H32" s="340"/>
      <c r="I32" s="340"/>
      <c r="J32" s="299"/>
      <c r="K32" s="268"/>
      <c r="L32" s="334"/>
      <c r="M32" s="299"/>
      <c r="N32" s="346"/>
      <c r="O32" s="332"/>
      <c r="P32" s="301"/>
      <c r="Q32" s="356"/>
      <c r="R32" s="359"/>
      <c r="S32" s="353"/>
      <c r="T32" s="353"/>
      <c r="U32" s="349"/>
    </row>
    <row r="33" spans="1:21" x14ac:dyDescent="0.35">
      <c r="A33" s="163"/>
      <c r="B33" s="338"/>
      <c r="C33" s="299"/>
      <c r="D33" s="299"/>
      <c r="E33" s="339"/>
      <c r="F33" s="340"/>
      <c r="G33" s="340"/>
      <c r="H33" s="340"/>
      <c r="I33" s="340"/>
      <c r="J33" s="299"/>
      <c r="K33" s="268"/>
      <c r="L33" s="334"/>
      <c r="M33" s="299"/>
      <c r="N33" s="347"/>
      <c r="O33" s="332"/>
      <c r="P33" s="301"/>
      <c r="Q33" s="356"/>
      <c r="R33" s="359"/>
      <c r="S33" s="353"/>
      <c r="T33" s="353"/>
      <c r="U33" s="349"/>
    </row>
    <row r="34" spans="1:21" ht="15" customHeight="1" x14ac:dyDescent="0.35">
      <c r="A34" s="163"/>
      <c r="B34" s="338"/>
      <c r="C34" s="299"/>
      <c r="D34" s="299"/>
      <c r="E34" s="339"/>
      <c r="F34" s="340"/>
      <c r="G34" s="340"/>
      <c r="H34" s="340"/>
      <c r="I34" s="340"/>
      <c r="J34" s="299"/>
      <c r="K34" s="268"/>
      <c r="L34" s="334"/>
      <c r="M34" s="299"/>
      <c r="N34" s="345" t="s">
        <v>217</v>
      </c>
      <c r="O34" s="333">
        <v>1</v>
      </c>
      <c r="P34" s="301"/>
      <c r="Q34" s="356"/>
      <c r="R34" s="359"/>
      <c r="S34" s="353"/>
      <c r="T34" s="353"/>
      <c r="U34" s="349"/>
    </row>
    <row r="35" spans="1:21" x14ac:dyDescent="0.35">
      <c r="A35" s="163"/>
      <c r="B35" s="338"/>
      <c r="C35" s="299"/>
      <c r="D35" s="299"/>
      <c r="E35" s="339"/>
      <c r="F35" s="340"/>
      <c r="G35" s="340"/>
      <c r="H35" s="340"/>
      <c r="I35" s="340"/>
      <c r="J35" s="299"/>
      <c r="K35" s="268"/>
      <c r="L35" s="334"/>
      <c r="M35" s="299"/>
      <c r="N35" s="346"/>
      <c r="O35" s="333"/>
      <c r="P35" s="301"/>
      <c r="Q35" s="356"/>
      <c r="R35" s="359"/>
      <c r="S35" s="353"/>
      <c r="T35" s="353"/>
      <c r="U35" s="349"/>
    </row>
    <row r="36" spans="1:21" x14ac:dyDescent="0.35">
      <c r="A36" s="163"/>
      <c r="B36" s="338"/>
      <c r="C36" s="299"/>
      <c r="D36" s="299"/>
      <c r="E36" s="339"/>
      <c r="F36" s="340"/>
      <c r="G36" s="340"/>
      <c r="H36" s="340"/>
      <c r="I36" s="340"/>
      <c r="J36" s="299"/>
      <c r="K36" s="268"/>
      <c r="L36" s="334"/>
      <c r="M36" s="299"/>
      <c r="N36" s="346"/>
      <c r="O36" s="333"/>
      <c r="P36" s="301"/>
      <c r="Q36" s="356"/>
      <c r="R36" s="359"/>
      <c r="S36" s="353"/>
      <c r="T36" s="353"/>
      <c r="U36" s="349"/>
    </row>
    <row r="37" spans="1:21" ht="16.5" customHeight="1" x14ac:dyDescent="0.35">
      <c r="A37" s="163"/>
      <c r="B37" s="338"/>
      <c r="C37" s="299"/>
      <c r="D37" s="299"/>
      <c r="E37" s="339"/>
      <c r="F37" s="340"/>
      <c r="G37" s="340"/>
      <c r="H37" s="340"/>
      <c r="I37" s="340"/>
      <c r="J37" s="299"/>
      <c r="K37" s="268"/>
      <c r="L37" s="334"/>
      <c r="M37" s="299"/>
      <c r="N37" s="346"/>
      <c r="O37" s="333"/>
      <c r="P37" s="301"/>
      <c r="Q37" s="356"/>
      <c r="R37" s="359"/>
      <c r="S37" s="353"/>
      <c r="T37" s="353"/>
      <c r="U37" s="349"/>
    </row>
    <row r="38" spans="1:21" ht="17.25" hidden="1" customHeight="1" x14ac:dyDescent="0.35">
      <c r="A38" s="163"/>
      <c r="B38" s="338"/>
      <c r="C38" s="299"/>
      <c r="D38" s="299"/>
      <c r="E38" s="339"/>
      <c r="F38" s="340"/>
      <c r="G38" s="340"/>
      <c r="H38" s="340"/>
      <c r="I38" s="340"/>
      <c r="J38" s="299"/>
      <c r="K38" s="268"/>
      <c r="L38" s="334"/>
      <c r="M38" s="299"/>
      <c r="N38" s="346"/>
      <c r="O38" s="333"/>
      <c r="P38" s="301"/>
      <c r="Q38" s="356"/>
      <c r="R38" s="359"/>
      <c r="S38" s="353"/>
      <c r="T38" s="353"/>
      <c r="U38" s="349"/>
    </row>
    <row r="39" spans="1:21" ht="15" hidden="1" customHeight="1" x14ac:dyDescent="0.35">
      <c r="A39" s="163"/>
      <c r="B39" s="338"/>
      <c r="C39" s="299"/>
      <c r="D39" s="299"/>
      <c r="E39" s="339"/>
      <c r="F39" s="340"/>
      <c r="G39" s="340"/>
      <c r="H39" s="340"/>
      <c r="I39" s="340"/>
      <c r="J39" s="299"/>
      <c r="K39" s="268"/>
      <c r="L39" s="334"/>
      <c r="M39" s="299"/>
      <c r="N39" s="346"/>
      <c r="O39" s="333"/>
      <c r="P39" s="302"/>
      <c r="Q39" s="356"/>
      <c r="R39" s="359"/>
      <c r="S39" s="353"/>
      <c r="T39" s="353"/>
      <c r="U39" s="349"/>
    </row>
    <row r="40" spans="1:21" ht="15" hidden="1" customHeight="1" x14ac:dyDescent="0.35">
      <c r="A40" s="163"/>
      <c r="B40" s="338"/>
      <c r="C40" s="299"/>
      <c r="D40" s="299"/>
      <c r="E40" s="339"/>
      <c r="F40" s="340"/>
      <c r="G40" s="340"/>
      <c r="H40" s="340"/>
      <c r="I40" s="340"/>
      <c r="J40" s="299"/>
      <c r="K40" s="268"/>
      <c r="L40" s="334"/>
      <c r="M40" s="299"/>
      <c r="N40" s="346"/>
      <c r="O40" s="333"/>
      <c r="P40" s="300"/>
      <c r="Q40" s="356"/>
      <c r="R40" s="359"/>
      <c r="S40" s="353"/>
      <c r="T40" s="353"/>
      <c r="U40" s="349"/>
    </row>
    <row r="41" spans="1:21" ht="15" hidden="1" customHeight="1" x14ac:dyDescent="0.35">
      <c r="A41" s="163"/>
      <c r="B41" s="338"/>
      <c r="C41" s="299"/>
      <c r="D41" s="299"/>
      <c r="E41" s="339"/>
      <c r="F41" s="340"/>
      <c r="G41" s="340"/>
      <c r="H41" s="340"/>
      <c r="I41" s="340"/>
      <c r="J41" s="299"/>
      <c r="K41" s="268"/>
      <c r="L41" s="334"/>
      <c r="M41" s="299"/>
      <c r="N41" s="346"/>
      <c r="O41" s="333"/>
      <c r="P41" s="301"/>
      <c r="Q41" s="356"/>
      <c r="R41" s="359"/>
      <c r="S41" s="353"/>
      <c r="T41" s="353"/>
      <c r="U41" s="349"/>
    </row>
    <row r="42" spans="1:21" ht="15" hidden="1" customHeight="1" x14ac:dyDescent="0.35">
      <c r="A42" s="163"/>
      <c r="B42" s="338"/>
      <c r="C42" s="299"/>
      <c r="D42" s="299"/>
      <c r="E42" s="339"/>
      <c r="F42" s="340"/>
      <c r="G42" s="340"/>
      <c r="H42" s="340"/>
      <c r="I42" s="340"/>
      <c r="J42" s="299"/>
      <c r="K42" s="268"/>
      <c r="L42" s="334"/>
      <c r="M42" s="299"/>
      <c r="N42" s="346"/>
      <c r="O42" s="333"/>
      <c r="P42" s="301"/>
      <c r="Q42" s="356"/>
      <c r="R42" s="359"/>
      <c r="S42" s="353"/>
      <c r="T42" s="353"/>
      <c r="U42" s="349"/>
    </row>
    <row r="43" spans="1:21" ht="15" hidden="1" customHeight="1" x14ac:dyDescent="0.35">
      <c r="A43" s="163"/>
      <c r="B43" s="338"/>
      <c r="C43" s="299"/>
      <c r="D43" s="299"/>
      <c r="E43" s="339"/>
      <c r="F43" s="340"/>
      <c r="G43" s="340"/>
      <c r="H43" s="340"/>
      <c r="I43" s="340"/>
      <c r="J43" s="299"/>
      <c r="K43" s="268"/>
      <c r="L43" s="334"/>
      <c r="M43" s="299"/>
      <c r="N43" s="346"/>
      <c r="O43" s="333"/>
      <c r="P43" s="301"/>
      <c r="Q43" s="356"/>
      <c r="R43" s="359"/>
      <c r="S43" s="353"/>
      <c r="T43" s="353"/>
      <c r="U43" s="349"/>
    </row>
    <row r="44" spans="1:21" ht="15" hidden="1" customHeight="1" x14ac:dyDescent="0.35">
      <c r="A44" s="163"/>
      <c r="B44" s="338"/>
      <c r="C44" s="299"/>
      <c r="D44" s="299"/>
      <c r="E44" s="339"/>
      <c r="F44" s="340"/>
      <c r="G44" s="340"/>
      <c r="H44" s="340"/>
      <c r="I44" s="340"/>
      <c r="J44" s="299"/>
      <c r="K44" s="268"/>
      <c r="L44" s="334"/>
      <c r="M44" s="299"/>
      <c r="N44" s="346"/>
      <c r="O44" s="333"/>
      <c r="P44" s="302"/>
      <c r="Q44" s="356"/>
      <c r="R44" s="359"/>
      <c r="S44" s="353"/>
      <c r="T44" s="353"/>
      <c r="U44" s="349"/>
    </row>
    <row r="45" spans="1:21" ht="15" hidden="1" customHeight="1" x14ac:dyDescent="0.35">
      <c r="A45" s="163"/>
      <c r="B45" s="338"/>
      <c r="C45" s="299"/>
      <c r="D45" s="299"/>
      <c r="E45" s="339"/>
      <c r="F45" s="340"/>
      <c r="G45" s="340"/>
      <c r="H45" s="340"/>
      <c r="I45" s="340"/>
      <c r="J45" s="299"/>
      <c r="K45" s="268"/>
      <c r="L45" s="334"/>
      <c r="M45" s="299"/>
      <c r="N45" s="346"/>
      <c r="O45" s="333"/>
      <c r="P45" s="300"/>
      <c r="Q45" s="356"/>
      <c r="R45" s="359"/>
      <c r="S45" s="353"/>
      <c r="T45" s="353"/>
      <c r="U45" s="349"/>
    </row>
    <row r="46" spans="1:21" ht="15" hidden="1" customHeight="1" x14ac:dyDescent="0.35">
      <c r="A46" s="163"/>
      <c r="B46" s="338"/>
      <c r="C46" s="299"/>
      <c r="D46" s="299"/>
      <c r="E46" s="339"/>
      <c r="F46" s="340"/>
      <c r="G46" s="340"/>
      <c r="H46" s="340"/>
      <c r="I46" s="340"/>
      <c r="J46" s="299"/>
      <c r="K46" s="268"/>
      <c r="L46" s="334"/>
      <c r="M46" s="299"/>
      <c r="N46" s="346"/>
      <c r="O46" s="333"/>
      <c r="P46" s="301"/>
      <c r="Q46" s="356"/>
      <c r="R46" s="359"/>
      <c r="S46" s="353"/>
      <c r="T46" s="353"/>
      <c r="U46" s="349"/>
    </row>
    <row r="47" spans="1:21" ht="15" hidden="1" customHeight="1" x14ac:dyDescent="0.35">
      <c r="A47" s="163"/>
      <c r="B47" s="338"/>
      <c r="C47" s="299"/>
      <c r="D47" s="299"/>
      <c r="E47" s="339"/>
      <c r="F47" s="340"/>
      <c r="G47" s="340"/>
      <c r="H47" s="340"/>
      <c r="I47" s="340"/>
      <c r="J47" s="299"/>
      <c r="K47" s="268"/>
      <c r="L47" s="334"/>
      <c r="M47" s="299"/>
      <c r="N47" s="346"/>
      <c r="O47" s="333"/>
      <c r="P47" s="301"/>
      <c r="Q47" s="356"/>
      <c r="R47" s="359"/>
      <c r="S47" s="353"/>
      <c r="T47" s="353"/>
      <c r="U47" s="349"/>
    </row>
    <row r="48" spans="1:21" ht="15" hidden="1" customHeight="1" x14ac:dyDescent="0.35">
      <c r="A48" s="163"/>
      <c r="B48" s="338"/>
      <c r="C48" s="299"/>
      <c r="D48" s="299"/>
      <c r="E48" s="339"/>
      <c r="F48" s="340"/>
      <c r="G48" s="340"/>
      <c r="H48" s="340"/>
      <c r="I48" s="340"/>
      <c r="J48" s="299"/>
      <c r="K48" s="268"/>
      <c r="L48" s="334"/>
      <c r="M48" s="299"/>
      <c r="N48" s="346"/>
      <c r="O48" s="333"/>
      <c r="P48" s="301"/>
      <c r="Q48" s="356"/>
      <c r="R48" s="359"/>
      <c r="S48" s="353"/>
      <c r="T48" s="353"/>
      <c r="U48" s="349"/>
    </row>
    <row r="49" spans="1:21" ht="15" hidden="1" customHeight="1" x14ac:dyDescent="0.35">
      <c r="A49" s="163"/>
      <c r="B49" s="338"/>
      <c r="C49" s="299"/>
      <c r="D49" s="299"/>
      <c r="E49" s="339"/>
      <c r="F49" s="340"/>
      <c r="G49" s="340"/>
      <c r="H49" s="340"/>
      <c r="I49" s="340"/>
      <c r="J49" s="299"/>
      <c r="K49" s="268"/>
      <c r="L49" s="334"/>
      <c r="M49" s="299"/>
      <c r="N49" s="346"/>
      <c r="O49" s="333"/>
      <c r="P49" s="302"/>
      <c r="Q49" s="356"/>
      <c r="R49" s="359"/>
      <c r="S49" s="353"/>
      <c r="T49" s="353"/>
      <c r="U49" s="349"/>
    </row>
    <row r="50" spans="1:21" ht="15" hidden="1" customHeight="1" x14ac:dyDescent="0.35">
      <c r="A50" s="163"/>
      <c r="B50" s="338"/>
      <c r="C50" s="299"/>
      <c r="D50" s="299"/>
      <c r="E50" s="339"/>
      <c r="F50" s="340"/>
      <c r="G50" s="340"/>
      <c r="H50" s="340"/>
      <c r="I50" s="340"/>
      <c r="J50" s="299"/>
      <c r="K50" s="268"/>
      <c r="L50" s="334"/>
      <c r="M50" s="299"/>
      <c r="N50" s="346"/>
      <c r="O50" s="333"/>
      <c r="P50" s="300"/>
      <c r="Q50" s="356"/>
      <c r="R50" s="359"/>
      <c r="S50" s="353"/>
      <c r="T50" s="353"/>
      <c r="U50" s="349"/>
    </row>
    <row r="51" spans="1:21" ht="13.5" hidden="1" customHeight="1" x14ac:dyDescent="0.35">
      <c r="A51" s="163"/>
      <c r="B51" s="338"/>
      <c r="C51" s="299"/>
      <c r="D51" s="299"/>
      <c r="E51" s="339"/>
      <c r="F51" s="340"/>
      <c r="G51" s="340"/>
      <c r="H51" s="340"/>
      <c r="I51" s="340"/>
      <c r="J51" s="299"/>
      <c r="K51" s="268"/>
      <c r="L51" s="334"/>
      <c r="M51" s="299"/>
      <c r="N51" s="346"/>
      <c r="O51" s="333"/>
      <c r="P51" s="301"/>
      <c r="Q51" s="356"/>
      <c r="R51" s="359"/>
      <c r="S51" s="353"/>
      <c r="T51" s="353"/>
      <c r="U51" s="349"/>
    </row>
    <row r="52" spans="1:21" ht="15" hidden="1" customHeight="1" x14ac:dyDescent="0.35">
      <c r="A52" s="163"/>
      <c r="B52" s="338"/>
      <c r="C52" s="299"/>
      <c r="D52" s="299"/>
      <c r="E52" s="339"/>
      <c r="F52" s="340"/>
      <c r="G52" s="340"/>
      <c r="H52" s="340"/>
      <c r="I52" s="340"/>
      <c r="J52" s="299"/>
      <c r="K52" s="268"/>
      <c r="L52" s="334"/>
      <c r="M52" s="299"/>
      <c r="N52" s="346"/>
      <c r="O52" s="333"/>
      <c r="P52" s="301"/>
      <c r="Q52" s="356"/>
      <c r="R52" s="359"/>
      <c r="S52" s="353"/>
      <c r="T52" s="353"/>
      <c r="U52" s="349"/>
    </row>
    <row r="53" spans="1:21" ht="15" hidden="1" customHeight="1" x14ac:dyDescent="0.35">
      <c r="A53" s="163"/>
      <c r="B53" s="338"/>
      <c r="C53" s="299"/>
      <c r="D53" s="299"/>
      <c r="E53" s="339"/>
      <c r="F53" s="340"/>
      <c r="G53" s="340"/>
      <c r="H53" s="340"/>
      <c r="I53" s="340"/>
      <c r="J53" s="299"/>
      <c r="K53" s="268"/>
      <c r="L53" s="334"/>
      <c r="M53" s="299"/>
      <c r="N53" s="346"/>
      <c r="O53" s="333"/>
      <c r="P53" s="301"/>
      <c r="Q53" s="356"/>
      <c r="R53" s="359"/>
      <c r="S53" s="353"/>
      <c r="T53" s="353"/>
      <c r="U53" s="349"/>
    </row>
    <row r="54" spans="1:21" ht="15" hidden="1" customHeight="1" x14ac:dyDescent="0.35">
      <c r="A54" s="163"/>
      <c r="B54" s="338"/>
      <c r="C54" s="299"/>
      <c r="D54" s="299"/>
      <c r="E54" s="339"/>
      <c r="F54" s="340"/>
      <c r="G54" s="340"/>
      <c r="H54" s="340"/>
      <c r="I54" s="340"/>
      <c r="J54" s="299"/>
      <c r="K54" s="268"/>
      <c r="L54" s="334"/>
      <c r="M54" s="299"/>
      <c r="N54" s="346"/>
      <c r="O54" s="333"/>
      <c r="P54" s="302"/>
      <c r="Q54" s="356"/>
      <c r="R54" s="359"/>
      <c r="S54" s="353"/>
      <c r="T54" s="353"/>
      <c r="U54" s="349"/>
    </row>
    <row r="55" spans="1:21" ht="15" hidden="1" customHeight="1" x14ac:dyDescent="0.35">
      <c r="A55" s="163"/>
      <c r="B55" s="338"/>
      <c r="C55" s="299"/>
      <c r="D55" s="299"/>
      <c r="E55" s="339"/>
      <c r="F55" s="340"/>
      <c r="G55" s="340"/>
      <c r="H55" s="340"/>
      <c r="I55" s="340"/>
      <c r="J55" s="299"/>
      <c r="K55" s="268"/>
      <c r="L55" s="334"/>
      <c r="M55" s="299"/>
      <c r="N55" s="346"/>
      <c r="O55" s="333"/>
      <c r="P55" s="300"/>
      <c r="Q55" s="356"/>
      <c r="R55" s="359"/>
      <c r="S55" s="353"/>
      <c r="T55" s="353"/>
      <c r="U55" s="349"/>
    </row>
    <row r="56" spans="1:21" ht="15" hidden="1" customHeight="1" x14ac:dyDescent="0.35">
      <c r="A56" s="163"/>
      <c r="B56" s="338"/>
      <c r="C56" s="299"/>
      <c r="D56" s="299"/>
      <c r="E56" s="339"/>
      <c r="F56" s="340"/>
      <c r="G56" s="340"/>
      <c r="H56" s="340"/>
      <c r="I56" s="340"/>
      <c r="J56" s="299"/>
      <c r="K56" s="268"/>
      <c r="L56" s="334"/>
      <c r="M56" s="299"/>
      <c r="N56" s="346"/>
      <c r="O56" s="333"/>
      <c r="P56" s="301"/>
      <c r="Q56" s="356"/>
      <c r="R56" s="359"/>
      <c r="S56" s="353"/>
      <c r="T56" s="353"/>
      <c r="U56" s="349"/>
    </row>
    <row r="57" spans="1:21" ht="15" hidden="1" customHeight="1" x14ac:dyDescent="0.35">
      <c r="A57" s="163"/>
      <c r="B57" s="338"/>
      <c r="C57" s="299"/>
      <c r="D57" s="299"/>
      <c r="E57" s="339"/>
      <c r="F57" s="340"/>
      <c r="G57" s="340"/>
      <c r="H57" s="340"/>
      <c r="I57" s="340"/>
      <c r="J57" s="299"/>
      <c r="K57" s="268"/>
      <c r="L57" s="334"/>
      <c r="M57" s="299"/>
      <c r="N57" s="346"/>
      <c r="O57" s="333"/>
      <c r="P57" s="301"/>
      <c r="Q57" s="356"/>
      <c r="R57" s="359"/>
      <c r="S57" s="353"/>
      <c r="T57" s="353"/>
      <c r="U57" s="349"/>
    </row>
    <row r="58" spans="1:21" ht="15" hidden="1" customHeight="1" x14ac:dyDescent="0.35">
      <c r="A58" s="163"/>
      <c r="B58" s="338"/>
      <c r="C58" s="299"/>
      <c r="D58" s="299"/>
      <c r="E58" s="339"/>
      <c r="F58" s="340"/>
      <c r="G58" s="340"/>
      <c r="H58" s="340"/>
      <c r="I58" s="340"/>
      <c r="J58" s="299"/>
      <c r="K58" s="268"/>
      <c r="L58" s="334"/>
      <c r="M58" s="299"/>
      <c r="N58" s="346"/>
      <c r="O58" s="333"/>
      <c r="P58" s="301"/>
      <c r="Q58" s="356"/>
      <c r="R58" s="359"/>
      <c r="S58" s="353"/>
      <c r="T58" s="353"/>
      <c r="U58" s="349"/>
    </row>
    <row r="59" spans="1:21" ht="15" hidden="1" customHeight="1" x14ac:dyDescent="0.35">
      <c r="A59" s="163"/>
      <c r="B59" s="338"/>
      <c r="C59" s="299"/>
      <c r="D59" s="299"/>
      <c r="E59" s="339"/>
      <c r="F59" s="340"/>
      <c r="G59" s="340"/>
      <c r="H59" s="340"/>
      <c r="I59" s="340"/>
      <c r="J59" s="299"/>
      <c r="K59" s="268"/>
      <c r="L59" s="334"/>
      <c r="M59" s="299"/>
      <c r="N59" s="346"/>
      <c r="O59" s="333"/>
      <c r="P59" s="302"/>
      <c r="Q59" s="356"/>
      <c r="R59" s="359"/>
      <c r="S59" s="353"/>
      <c r="T59" s="353"/>
      <c r="U59" s="349"/>
    </row>
    <row r="60" spans="1:21" ht="15" hidden="1" customHeight="1" x14ac:dyDescent="0.35">
      <c r="A60" s="163"/>
      <c r="B60" s="338"/>
      <c r="C60" s="299"/>
      <c r="D60" s="299"/>
      <c r="E60" s="339"/>
      <c r="F60" s="340"/>
      <c r="G60" s="340"/>
      <c r="H60" s="340"/>
      <c r="I60" s="340"/>
      <c r="J60" s="299"/>
      <c r="K60" s="268"/>
      <c r="L60" s="334"/>
      <c r="M60" s="299"/>
      <c r="N60" s="346"/>
      <c r="O60" s="333"/>
      <c r="P60" s="300"/>
      <c r="Q60" s="356"/>
      <c r="R60" s="359"/>
      <c r="S60" s="353"/>
      <c r="T60" s="353"/>
      <c r="U60" s="349"/>
    </row>
    <row r="61" spans="1:21" ht="15" hidden="1" customHeight="1" x14ac:dyDescent="0.35">
      <c r="A61" s="163"/>
      <c r="B61" s="338"/>
      <c r="C61" s="299"/>
      <c r="D61" s="299"/>
      <c r="E61" s="339"/>
      <c r="F61" s="340"/>
      <c r="G61" s="340"/>
      <c r="H61" s="340"/>
      <c r="I61" s="340"/>
      <c r="J61" s="299"/>
      <c r="K61" s="268"/>
      <c r="L61" s="334"/>
      <c r="M61" s="299"/>
      <c r="N61" s="346"/>
      <c r="O61" s="333"/>
      <c r="P61" s="301"/>
      <c r="Q61" s="356"/>
      <c r="R61" s="359"/>
      <c r="S61" s="353"/>
      <c r="T61" s="353"/>
      <c r="U61" s="349"/>
    </row>
    <row r="62" spans="1:21" ht="15" hidden="1" customHeight="1" x14ac:dyDescent="0.35">
      <c r="A62" s="163"/>
      <c r="B62" s="338"/>
      <c r="C62" s="299"/>
      <c r="D62" s="299"/>
      <c r="E62" s="339"/>
      <c r="F62" s="340"/>
      <c r="G62" s="340"/>
      <c r="H62" s="340"/>
      <c r="I62" s="340"/>
      <c r="J62" s="299"/>
      <c r="K62" s="268"/>
      <c r="L62" s="334"/>
      <c r="M62" s="299"/>
      <c r="N62" s="346"/>
      <c r="O62" s="333"/>
      <c r="P62" s="301"/>
      <c r="Q62" s="356"/>
      <c r="R62" s="359"/>
      <c r="S62" s="353"/>
      <c r="T62" s="353"/>
      <c r="U62" s="349"/>
    </row>
    <row r="63" spans="1:21" ht="23.25" customHeight="1" x14ac:dyDescent="0.35">
      <c r="A63" s="163"/>
      <c r="B63" s="338"/>
      <c r="C63" s="299"/>
      <c r="D63" s="299"/>
      <c r="E63" s="339"/>
      <c r="F63" s="340"/>
      <c r="G63" s="340"/>
      <c r="H63" s="340"/>
      <c r="I63" s="340"/>
      <c r="J63" s="299"/>
      <c r="K63" s="268"/>
      <c r="L63" s="334"/>
      <c r="M63" s="299"/>
      <c r="N63" s="346"/>
      <c r="O63" s="333"/>
      <c r="P63" s="301"/>
      <c r="Q63" s="356"/>
      <c r="R63" s="359"/>
      <c r="S63" s="353"/>
      <c r="T63" s="353"/>
      <c r="U63" s="349"/>
    </row>
    <row r="64" spans="1:21" ht="9" customHeight="1" x14ac:dyDescent="0.35">
      <c r="A64" s="163"/>
      <c r="B64" s="338"/>
      <c r="C64" s="299"/>
      <c r="D64" s="299"/>
      <c r="E64" s="339"/>
      <c r="F64" s="340"/>
      <c r="G64" s="340"/>
      <c r="H64" s="340"/>
      <c r="I64" s="340"/>
      <c r="J64" s="299"/>
      <c r="K64" s="268"/>
      <c r="L64" s="334"/>
      <c r="M64" s="281"/>
      <c r="N64" s="346"/>
      <c r="O64" s="333"/>
      <c r="P64" s="302"/>
      <c r="Q64" s="357"/>
      <c r="R64" s="360"/>
      <c r="S64" s="354"/>
      <c r="T64" s="354"/>
      <c r="U64" s="350"/>
    </row>
    <row r="65" spans="1:21" ht="15.5" x14ac:dyDescent="0.35">
      <c r="A65" s="163"/>
      <c r="B65" s="289" t="s">
        <v>53</v>
      </c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176">
        <f>R65+S65+T65</f>
        <v>1191844346</v>
      </c>
      <c r="R65" s="177">
        <f>SUM(R34+R30+R25+R18+R17+R16+R16+R10+R9)</f>
        <v>876844346</v>
      </c>
      <c r="S65" s="177">
        <f>SUBTOTAL(9,S55:S64)</f>
        <v>0</v>
      </c>
      <c r="T65" s="177">
        <f>T30+T25+T18+T17+T16+T10+T9</f>
        <v>315000000</v>
      </c>
      <c r="U65" s="177">
        <f>U30+U25+U18+U17+U16</f>
        <v>986658537</v>
      </c>
    </row>
  </sheetData>
  <mergeCells count="95">
    <mergeCell ref="P45:P49"/>
    <mergeCell ref="P50:P54"/>
    <mergeCell ref="P55:P59"/>
    <mergeCell ref="P60:P64"/>
    <mergeCell ref="U30:U64"/>
    <mergeCell ref="N1:U1"/>
    <mergeCell ref="B4:U4"/>
    <mergeCell ref="B5:U5"/>
    <mergeCell ref="B6:U6"/>
    <mergeCell ref="B7:J7"/>
    <mergeCell ref="L7:P7"/>
    <mergeCell ref="Q7:T7"/>
    <mergeCell ref="U7:U8"/>
    <mergeCell ref="U14:U15"/>
    <mergeCell ref="P30:P39"/>
    <mergeCell ref="T30:T64"/>
    <mergeCell ref="S30:S64"/>
    <mergeCell ref="Q30:Q64"/>
    <mergeCell ref="R30:R64"/>
    <mergeCell ref="P40:P44"/>
    <mergeCell ref="B9:B10"/>
    <mergeCell ref="K9:K10"/>
    <mergeCell ref="B11:U11"/>
    <mergeCell ref="B12:U12"/>
    <mergeCell ref="B13:U13"/>
    <mergeCell ref="B14:J14"/>
    <mergeCell ref="L14:P14"/>
    <mergeCell ref="Q14:T14"/>
    <mergeCell ref="U18:U19"/>
    <mergeCell ref="P18:P19"/>
    <mergeCell ref="Q18:Q19"/>
    <mergeCell ref="R18:R19"/>
    <mergeCell ref="S18:S19"/>
    <mergeCell ref="B16:B17"/>
    <mergeCell ref="B18:B19"/>
    <mergeCell ref="L18:L19"/>
    <mergeCell ref="M18:M19"/>
    <mergeCell ref="B20:U20"/>
    <mergeCell ref="B21:U21"/>
    <mergeCell ref="N18:N19"/>
    <mergeCell ref="O18:O19"/>
    <mergeCell ref="G25:G26"/>
    <mergeCell ref="H27:H28"/>
    <mergeCell ref="I27:I28"/>
    <mergeCell ref="I25:I26"/>
    <mergeCell ref="T18:T19"/>
    <mergeCell ref="B22:U22"/>
    <mergeCell ref="B23:J23"/>
    <mergeCell ref="L23:P23"/>
    <mergeCell ref="Q23:T23"/>
    <mergeCell ref="U23:U24"/>
    <mergeCell ref="U25:U29"/>
    <mergeCell ref="R25:R29"/>
    <mergeCell ref="S25:S29"/>
    <mergeCell ref="R2:U2"/>
    <mergeCell ref="B65:P65"/>
    <mergeCell ref="P25:P29"/>
    <mergeCell ref="D30:D64"/>
    <mergeCell ref="B25:B64"/>
    <mergeCell ref="E30:E64"/>
    <mergeCell ref="F30:F64"/>
    <mergeCell ref="E27:E28"/>
    <mergeCell ref="F27:F28"/>
    <mergeCell ref="G27:G28"/>
    <mergeCell ref="J27:J28"/>
    <mergeCell ref="Q25:Q29"/>
    <mergeCell ref="L25:L29"/>
    <mergeCell ref="T25:T29"/>
    <mergeCell ref="O27:O28"/>
    <mergeCell ref="H25:H26"/>
    <mergeCell ref="C27:C28"/>
    <mergeCell ref="D27:D28"/>
    <mergeCell ref="M25:M29"/>
    <mergeCell ref="N25:N26"/>
    <mergeCell ref="N27:N28"/>
    <mergeCell ref="J25:J26"/>
    <mergeCell ref="K25:K26"/>
    <mergeCell ref="K27:K28"/>
    <mergeCell ref="O25:O26"/>
    <mergeCell ref="C25:C26"/>
    <mergeCell ref="D25:D26"/>
    <mergeCell ref="E25:E26"/>
    <mergeCell ref="F25:F26"/>
    <mergeCell ref="O30:O33"/>
    <mergeCell ref="O34:O64"/>
    <mergeCell ref="K30:K64"/>
    <mergeCell ref="L30:L64"/>
    <mergeCell ref="C30:C64"/>
    <mergeCell ref="I30:I64"/>
    <mergeCell ref="M30:M64"/>
    <mergeCell ref="N30:N33"/>
    <mergeCell ref="N34:N64"/>
    <mergeCell ref="G30:G64"/>
    <mergeCell ref="H30:H64"/>
    <mergeCell ref="J30:J64"/>
  </mergeCells>
  <conditionalFormatting sqref="E9:H9">
    <cfRule type="expression" dxfId="33" priority="21" stopIfTrue="1">
      <formula>+IF((#REF!+#REF!+#REF!+#REF!+#REF!)&lt;&gt;$K9,1,0)</formula>
    </cfRule>
  </conditionalFormatting>
  <conditionalFormatting sqref="E9:H9">
    <cfRule type="expression" dxfId="32" priority="20" stopIfTrue="1">
      <formula>+IF((#REF!+#REF!+#REF!+#REF!+#REF!)&lt;&gt;$K9,1,0)</formula>
    </cfRule>
  </conditionalFormatting>
  <conditionalFormatting sqref="O9">
    <cfRule type="expression" dxfId="31" priority="19" stopIfTrue="1">
      <formula>+IF((#REF!+#REF!+#REF!+#REF!+#REF!)&lt;&gt;$K9,1,0)</formula>
    </cfRule>
  </conditionalFormatting>
  <conditionalFormatting sqref="O9">
    <cfRule type="expression" dxfId="30" priority="18" stopIfTrue="1">
      <formula>+IF((#REF!+#REF!+#REF!+#REF!+#REF!)&lt;&gt;$K9,1,0)</formula>
    </cfRule>
  </conditionalFormatting>
  <conditionalFormatting sqref="O9">
    <cfRule type="expression" dxfId="29" priority="17" stopIfTrue="1">
      <formula>+IF((#REF!+#REF!+#REF!+#REF!+#REF!)&lt;&gt;$K9,1,0)</formula>
    </cfRule>
  </conditionalFormatting>
  <conditionalFormatting sqref="E17:H17">
    <cfRule type="expression" dxfId="28" priority="16" stopIfTrue="1">
      <formula>+IF((#REF!+#REF!+#REF!+#REF!+#REF!)&lt;&gt;$K17,1,0)</formula>
    </cfRule>
  </conditionalFormatting>
  <conditionalFormatting sqref="E18:H18">
    <cfRule type="expression" dxfId="27" priority="15" stopIfTrue="1">
      <formula>+IF((#REF!+#REF!+#REF!+#REF!+#REF!)&lt;&gt;$K18,1,0)</formula>
    </cfRule>
  </conditionalFormatting>
  <conditionalFormatting sqref="O18">
    <cfRule type="expression" dxfId="26" priority="14" stopIfTrue="1">
      <formula>+IF((#REF!+#REF!+#REF!+#REF!+#REF!)&lt;&gt;$K19,1,0)</formula>
    </cfRule>
  </conditionalFormatting>
  <conditionalFormatting sqref="O16">
    <cfRule type="expression" dxfId="25" priority="13" stopIfTrue="1">
      <formula>+IF((#REF!+#REF!+#REF!+#REF!+#REF!)&lt;&gt;$K16,1,0)</formula>
    </cfRule>
  </conditionalFormatting>
  <conditionalFormatting sqref="E25:H26">
    <cfRule type="expression" dxfId="24" priority="6" stopIfTrue="1">
      <formula>+IF((#REF!+#REF!+#REF!+#REF!+#REF!)&lt;&gt;$K25,1,0)</formula>
    </cfRule>
  </conditionalFormatting>
  <conditionalFormatting sqref="E25:H26">
    <cfRule type="expression" dxfId="23" priority="5" stopIfTrue="1">
      <formula>+IF((#REF!+#REF!+#REF!+#REF!+#REF!)&lt;&gt;$K25,1,0)</formula>
    </cfRule>
  </conditionalFormatting>
  <conditionalFormatting sqref="F27:F28">
    <cfRule type="expression" dxfId="22" priority="2" stopIfTrue="1">
      <formula>+IF((#REF!+#REF!+#REF!+#REF!+#REF!)&lt;&gt;$K27,1,0)</formula>
    </cfRule>
  </conditionalFormatting>
  <conditionalFormatting sqref="F27:F28">
    <cfRule type="expression" dxfId="21" priority="1" stopIfTrue="1">
      <formula>+IF((#REF!+#REF!+#REF!+#REF!+#REF!)&lt;&gt;$K27,1,0)</formula>
    </cfRule>
  </conditionalFormatting>
  <conditionalFormatting sqref="E27:E28">
    <cfRule type="expression" dxfId="20" priority="4" stopIfTrue="1">
      <formula>+IF((#REF!+#REF!+#REF!+#REF!+#REF!)&lt;&gt;$K27,1,0)</formula>
    </cfRule>
  </conditionalFormatting>
  <conditionalFormatting sqref="E27:E28">
    <cfRule type="expression" dxfId="19" priority="3" stopIfTrue="1">
      <formula>+IF((#REF!+#REF!+#REF!+#REF!+#REF!)&lt;&gt;$K27,1,0)</formula>
    </cfRule>
  </conditionalFormatting>
  <dataValidations count="4">
    <dataValidation type="list" allowBlank="1" showInputMessage="1" showErrorMessage="1" sqref="J18:J19 J16 P16 P18">
      <formula1>#REF!</formula1>
    </dataValidation>
    <dataValidation type="list" allowBlank="1" showInputMessage="1" showErrorMessage="1" sqref="P9:P10 J17 P17 K16:K19 J9:J10 K9">
      <formula1>#REF!</formula1>
    </dataValidation>
    <dataValidation type="list" allowBlank="1" showInputMessage="1" showErrorMessage="1" sqref="J25:J26">
      <formula1>$T$31:$T$39</formula1>
    </dataValidation>
    <dataValidation type="list" allowBlank="1" showInputMessage="1" showErrorMessage="1" sqref="K25:K26">
      <formula1>$H$25:$H$29</formula1>
    </dataValidation>
  </dataValidations>
  <pageMargins left="0.7" right="0.7" top="0.75" bottom="0.75" header="0.3" footer="0.3"/>
  <pageSetup orientation="portrait" r:id="rId1"/>
  <ignoredErrors>
    <ignoredError sqref="S65" formulaRange="1"/>
    <ignoredError sqref="Q16:Q18 Q9:Q10 Q25 R9 Q30:R30 U17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Y32"/>
  <sheetViews>
    <sheetView topLeftCell="N12" workbookViewId="0">
      <selection activeCell="Q13" sqref="Q13"/>
    </sheetView>
  </sheetViews>
  <sheetFormatPr baseColWidth="10" defaultRowHeight="14.5" x14ac:dyDescent="0.35"/>
  <cols>
    <col min="2" max="2" width="22.453125" customWidth="1"/>
    <col min="3" max="3" width="19.26953125" customWidth="1"/>
    <col min="4" max="4" width="20.7265625" customWidth="1"/>
    <col min="5" max="6" width="6.453125" customWidth="1"/>
    <col min="7" max="7" width="6.54296875" customWidth="1"/>
    <col min="8" max="8" width="6" customWidth="1"/>
    <col min="9" max="9" width="12.81640625" customWidth="1"/>
    <col min="11" max="11" width="20.26953125" customWidth="1"/>
    <col min="12" max="12" width="6" customWidth="1"/>
    <col min="13" max="13" width="22.1796875" customWidth="1"/>
    <col min="14" max="14" width="15" customWidth="1"/>
    <col min="15" max="15" width="10.26953125" customWidth="1"/>
    <col min="16" max="16" width="17.26953125" customWidth="1"/>
    <col min="17" max="17" width="19" customWidth="1"/>
    <col min="18" max="18" width="20.54296875" customWidth="1"/>
    <col min="19" max="19" width="19.1796875" customWidth="1"/>
    <col min="20" max="20" width="17.7265625" bestFit="1" customWidth="1"/>
    <col min="21" max="21" width="19" customWidth="1"/>
    <col min="23" max="24" width="15.1796875" bestFit="1" customWidth="1"/>
    <col min="25" max="25" width="17.81640625" bestFit="1" customWidth="1"/>
  </cols>
  <sheetData>
    <row r="3" spans="2:25" ht="15.5" x14ac:dyDescent="0.35">
      <c r="N3" s="351" t="s">
        <v>0</v>
      </c>
      <c r="O3" s="351"/>
      <c r="P3" s="351"/>
      <c r="Q3" s="351"/>
      <c r="R3" s="351"/>
      <c r="S3" s="351"/>
      <c r="T3" s="351"/>
      <c r="U3" s="351"/>
    </row>
    <row r="4" spans="2:25" ht="18" x14ac:dyDescent="0.35">
      <c r="R4" s="363" t="s">
        <v>356</v>
      </c>
      <c r="S4" s="364"/>
      <c r="T4" s="364"/>
      <c r="U4" s="364"/>
    </row>
    <row r="5" spans="2:25" x14ac:dyDescent="0.35">
      <c r="B5" s="282" t="s">
        <v>202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2:25" x14ac:dyDescent="0.35">
      <c r="B6" s="282" t="s">
        <v>221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5" x14ac:dyDescent="0.35">
      <c r="B7" s="284" t="s">
        <v>3</v>
      </c>
      <c r="C7" s="284"/>
      <c r="D7" s="284"/>
      <c r="E7" s="284"/>
      <c r="F7" s="284"/>
      <c r="G7" s="284"/>
      <c r="H7" s="284"/>
      <c r="I7" s="284"/>
      <c r="J7" s="284"/>
      <c r="K7" s="85"/>
      <c r="L7" s="284" t="s">
        <v>72</v>
      </c>
      <c r="M7" s="284"/>
      <c r="N7" s="284"/>
      <c r="O7" s="284"/>
      <c r="P7" s="284"/>
      <c r="Q7" s="285" t="s">
        <v>4</v>
      </c>
      <c r="R7" s="285"/>
      <c r="S7" s="285"/>
      <c r="T7" s="285"/>
      <c r="U7" s="286" t="s">
        <v>40</v>
      </c>
    </row>
    <row r="8" spans="2:25" ht="41.25" customHeight="1" x14ac:dyDescent="0.35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0" t="s">
        <v>361</v>
      </c>
      <c r="U8" s="286"/>
    </row>
    <row r="9" spans="2:25" ht="79.5" customHeight="1" x14ac:dyDescent="0.35">
      <c r="B9" s="327" t="s">
        <v>222</v>
      </c>
      <c r="C9" s="277" t="s">
        <v>223</v>
      </c>
      <c r="D9" s="366" t="s">
        <v>224</v>
      </c>
      <c r="E9" s="371">
        <v>0</v>
      </c>
      <c r="F9" s="371">
        <v>0</v>
      </c>
      <c r="G9" s="371">
        <v>100</v>
      </c>
      <c r="H9" s="371">
        <v>430</v>
      </c>
      <c r="I9" s="264">
        <f t="shared" ref="I9:I14" si="0">SUM(E9:H9)</f>
        <v>530</v>
      </c>
      <c r="J9" s="366" t="s">
        <v>215</v>
      </c>
      <c r="K9" s="361" t="s">
        <v>30</v>
      </c>
      <c r="L9" s="374">
        <v>1</v>
      </c>
      <c r="M9" s="378" t="s">
        <v>225</v>
      </c>
      <c r="N9" s="361" t="s">
        <v>226</v>
      </c>
      <c r="O9" s="376">
        <v>0</v>
      </c>
      <c r="P9" s="378" t="s">
        <v>227</v>
      </c>
      <c r="Q9" s="384">
        <f>R9+S9+T9</f>
        <v>0</v>
      </c>
      <c r="R9" s="369">
        <v>0</v>
      </c>
      <c r="S9" s="369">
        <v>0</v>
      </c>
      <c r="T9" s="382">
        <v>0</v>
      </c>
      <c r="U9" s="380">
        <v>0</v>
      </c>
    </row>
    <row r="10" spans="2:25" ht="12.75" customHeight="1" x14ac:dyDescent="0.35">
      <c r="B10" s="327"/>
      <c r="C10" s="277"/>
      <c r="D10" s="367"/>
      <c r="E10" s="372"/>
      <c r="F10" s="372"/>
      <c r="G10" s="372"/>
      <c r="H10" s="372"/>
      <c r="I10" s="258"/>
      <c r="J10" s="367"/>
      <c r="K10" s="362"/>
      <c r="L10" s="375"/>
      <c r="M10" s="379"/>
      <c r="N10" s="362"/>
      <c r="O10" s="377"/>
      <c r="P10" s="379"/>
      <c r="Q10" s="385"/>
      <c r="R10" s="370"/>
      <c r="S10" s="370"/>
      <c r="T10" s="383"/>
      <c r="U10" s="381"/>
    </row>
    <row r="11" spans="2:25" ht="69" x14ac:dyDescent="0.35">
      <c r="B11" s="327"/>
      <c r="C11" s="277"/>
      <c r="D11" s="368"/>
      <c r="E11" s="373"/>
      <c r="F11" s="373"/>
      <c r="G11" s="373"/>
      <c r="H11" s="373"/>
      <c r="I11" s="259"/>
      <c r="J11" s="368"/>
      <c r="K11" s="60" t="s">
        <v>30</v>
      </c>
      <c r="L11" s="59">
        <v>2</v>
      </c>
      <c r="M11" s="60" t="s">
        <v>228</v>
      </c>
      <c r="N11" s="60" t="s">
        <v>229</v>
      </c>
      <c r="O11" s="132">
        <v>0.8</v>
      </c>
      <c r="P11" s="60" t="s">
        <v>125</v>
      </c>
      <c r="Q11" s="145">
        <f>SUM(R11:T11)</f>
        <v>1814888210</v>
      </c>
      <c r="R11" s="149">
        <f>1760000000+150000000-75111790-159964668-370000000</f>
        <v>1304923542</v>
      </c>
      <c r="S11" s="149">
        <v>350000000</v>
      </c>
      <c r="T11" s="84">
        <v>159964668</v>
      </c>
      <c r="U11" s="64">
        <v>4621550777</v>
      </c>
      <c r="W11" s="202"/>
      <c r="X11" s="168"/>
      <c r="Y11" s="168"/>
    </row>
    <row r="12" spans="2:25" ht="60" customHeight="1" x14ac:dyDescent="0.35">
      <c r="B12" s="327"/>
      <c r="C12" s="277"/>
      <c r="D12" s="60" t="s">
        <v>230</v>
      </c>
      <c r="E12" s="58">
        <v>5</v>
      </c>
      <c r="F12" s="58">
        <v>5</v>
      </c>
      <c r="G12" s="58">
        <v>5</v>
      </c>
      <c r="H12" s="58">
        <v>5</v>
      </c>
      <c r="I12" s="59">
        <f t="shared" si="0"/>
        <v>20</v>
      </c>
      <c r="J12" s="60" t="s">
        <v>215</v>
      </c>
      <c r="K12" s="60" t="s">
        <v>30</v>
      </c>
      <c r="L12" s="59">
        <v>3</v>
      </c>
      <c r="M12" s="60" t="s">
        <v>231</v>
      </c>
      <c r="N12" s="60" t="s">
        <v>232</v>
      </c>
      <c r="O12" s="138">
        <v>5</v>
      </c>
      <c r="P12" s="60" t="s">
        <v>227</v>
      </c>
      <c r="Q12" s="145">
        <f>R12+S12+T12</f>
        <v>0</v>
      </c>
      <c r="R12" s="149">
        <v>0</v>
      </c>
      <c r="S12" s="149">
        <v>0</v>
      </c>
      <c r="T12" s="84">
        <v>0</v>
      </c>
      <c r="U12" s="64">
        <v>0</v>
      </c>
    </row>
    <row r="13" spans="2:25" ht="69" x14ac:dyDescent="0.35">
      <c r="B13" s="327"/>
      <c r="C13" s="277"/>
      <c r="D13" s="60" t="s">
        <v>233</v>
      </c>
      <c r="E13" s="58">
        <v>0</v>
      </c>
      <c r="F13" s="58">
        <v>15</v>
      </c>
      <c r="G13" s="58">
        <v>15</v>
      </c>
      <c r="H13" s="58">
        <v>10</v>
      </c>
      <c r="I13" s="59">
        <f t="shared" si="0"/>
        <v>40</v>
      </c>
      <c r="J13" s="60" t="s">
        <v>215</v>
      </c>
      <c r="K13" s="60" t="s">
        <v>30</v>
      </c>
      <c r="L13" s="59">
        <v>4</v>
      </c>
      <c r="M13" s="60" t="s">
        <v>234</v>
      </c>
      <c r="N13" s="60" t="s">
        <v>233</v>
      </c>
      <c r="O13" s="138">
        <v>15</v>
      </c>
      <c r="P13" s="60" t="s">
        <v>227</v>
      </c>
      <c r="Q13" s="145">
        <f>R13+S13+T13</f>
        <v>260000000</v>
      </c>
      <c r="R13" s="149">
        <v>0</v>
      </c>
      <c r="S13" s="149">
        <v>0</v>
      </c>
      <c r="T13" s="84">
        <v>260000000</v>
      </c>
      <c r="U13" s="64">
        <v>0</v>
      </c>
    </row>
    <row r="14" spans="2:25" ht="69" x14ac:dyDescent="0.35">
      <c r="B14" s="327"/>
      <c r="C14" s="277"/>
      <c r="D14" s="60" t="s">
        <v>235</v>
      </c>
      <c r="E14" s="70">
        <v>0</v>
      </c>
      <c r="F14" s="70">
        <v>0.35</v>
      </c>
      <c r="G14" s="70">
        <v>0.35</v>
      </c>
      <c r="H14" s="70">
        <v>0.3</v>
      </c>
      <c r="I14" s="132">
        <f t="shared" si="0"/>
        <v>1</v>
      </c>
      <c r="J14" s="60" t="s">
        <v>215</v>
      </c>
      <c r="K14" s="60" t="s">
        <v>30</v>
      </c>
      <c r="L14" s="59">
        <v>5</v>
      </c>
      <c r="M14" s="60" t="s">
        <v>236</v>
      </c>
      <c r="N14" s="60" t="s">
        <v>237</v>
      </c>
      <c r="O14" s="132">
        <v>0.35</v>
      </c>
      <c r="P14" s="60" t="s">
        <v>125</v>
      </c>
      <c r="Q14" s="145">
        <f>R14+S14+T14</f>
        <v>80000000</v>
      </c>
      <c r="R14" s="149">
        <v>0</v>
      </c>
      <c r="S14" s="149">
        <v>0</v>
      </c>
      <c r="T14" s="84">
        <v>80000000</v>
      </c>
      <c r="U14" s="64">
        <v>0</v>
      </c>
      <c r="W14" s="168"/>
    </row>
    <row r="15" spans="2:25" ht="69" x14ac:dyDescent="0.35">
      <c r="B15" s="327"/>
      <c r="C15" s="277"/>
      <c r="D15" s="60" t="s">
        <v>238</v>
      </c>
      <c r="E15" s="58">
        <v>0</v>
      </c>
      <c r="F15" s="58">
        <v>1</v>
      </c>
      <c r="G15" s="58">
        <v>0</v>
      </c>
      <c r="H15" s="58">
        <v>0</v>
      </c>
      <c r="I15" s="59">
        <v>1</v>
      </c>
      <c r="J15" s="60" t="s">
        <v>215</v>
      </c>
      <c r="K15" s="60" t="s">
        <v>30</v>
      </c>
      <c r="L15" s="59">
        <v>6</v>
      </c>
      <c r="M15" s="60" t="s">
        <v>239</v>
      </c>
      <c r="N15" s="60" t="s">
        <v>240</v>
      </c>
      <c r="O15" s="138">
        <v>1</v>
      </c>
      <c r="P15" s="60" t="s">
        <v>125</v>
      </c>
      <c r="Q15" s="145">
        <f>R15+S15+T15</f>
        <v>0</v>
      </c>
      <c r="R15" s="149">
        <v>0</v>
      </c>
      <c r="S15" s="149">
        <v>0</v>
      </c>
      <c r="T15" s="84">
        <v>0</v>
      </c>
      <c r="U15" s="64">
        <v>0</v>
      </c>
    </row>
    <row r="16" spans="2:25" ht="15.5" x14ac:dyDescent="0.35">
      <c r="B16" s="365" t="s">
        <v>53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90">
        <f>SUBTOTAL(9,Q8:Q15)</f>
        <v>2154888210</v>
      </c>
      <c r="R16" s="165">
        <f>R15+R14+R13+R12+R11+R9</f>
        <v>1304923542</v>
      </c>
      <c r="S16" s="165">
        <f>SUBTOTAL(9,S8:S15)</f>
        <v>350000000</v>
      </c>
      <c r="T16" s="165">
        <f>SUBTOTAL(9,T8:T15)</f>
        <v>499964668</v>
      </c>
      <c r="U16" s="165">
        <f>SUBTOTAL(9,U8:U15)</f>
        <v>4621550777</v>
      </c>
    </row>
    <row r="18" spans="18:25" x14ac:dyDescent="0.35">
      <c r="Y18" s="189"/>
    </row>
    <row r="20" spans="18:25" x14ac:dyDescent="0.35">
      <c r="R20" s="187"/>
      <c r="Y20" s="188"/>
    </row>
    <row r="21" spans="18:25" x14ac:dyDescent="0.35">
      <c r="R21" s="187"/>
      <c r="S21" s="188"/>
    </row>
    <row r="22" spans="18:25" x14ac:dyDescent="0.35">
      <c r="R22" s="187"/>
    </row>
    <row r="23" spans="18:25" x14ac:dyDescent="0.35">
      <c r="R23" s="187"/>
    </row>
    <row r="24" spans="18:25" x14ac:dyDescent="0.35">
      <c r="R24" s="187"/>
      <c r="S24" s="188"/>
    </row>
    <row r="25" spans="18:25" x14ac:dyDescent="0.35">
      <c r="R25" s="187"/>
    </row>
    <row r="26" spans="18:25" x14ac:dyDescent="0.35">
      <c r="R26" s="187"/>
    </row>
    <row r="27" spans="18:25" x14ac:dyDescent="0.35">
      <c r="R27" s="187"/>
    </row>
    <row r="28" spans="18:25" x14ac:dyDescent="0.35">
      <c r="R28" s="187"/>
    </row>
    <row r="29" spans="18:25" x14ac:dyDescent="0.35">
      <c r="R29" s="187"/>
    </row>
    <row r="30" spans="18:25" x14ac:dyDescent="0.35">
      <c r="R30" s="187"/>
    </row>
    <row r="31" spans="18:25" x14ac:dyDescent="0.35">
      <c r="R31" s="187"/>
    </row>
    <row r="32" spans="18:25" x14ac:dyDescent="0.35">
      <c r="R32" s="187"/>
    </row>
  </sheetData>
  <mergeCells count="29">
    <mergeCell ref="B16:P16"/>
    <mergeCell ref="K9:K10"/>
    <mergeCell ref="B5:U5"/>
    <mergeCell ref="B6:U6"/>
    <mergeCell ref="B7:J7"/>
    <mergeCell ref="D9:D11"/>
    <mergeCell ref="S9:S10"/>
    <mergeCell ref="I9:I11"/>
    <mergeCell ref="H9:H11"/>
    <mergeCell ref="G9:G11"/>
    <mergeCell ref="F9:F11"/>
    <mergeCell ref="J9:J11"/>
    <mergeCell ref="L9:L10"/>
    <mergeCell ref="O9:O10"/>
    <mergeCell ref="P9:P10"/>
    <mergeCell ref="E9:E11"/>
    <mergeCell ref="B9:B15"/>
    <mergeCell ref="C9:C15"/>
    <mergeCell ref="N9:N10"/>
    <mergeCell ref="N3:U3"/>
    <mergeCell ref="R4:U4"/>
    <mergeCell ref="M9:M10"/>
    <mergeCell ref="L7:P7"/>
    <mergeCell ref="U9:U10"/>
    <mergeCell ref="Q7:T7"/>
    <mergeCell ref="U7:U8"/>
    <mergeCell ref="T9:T10"/>
    <mergeCell ref="Q9:Q10"/>
    <mergeCell ref="R9:R10"/>
  </mergeCells>
  <conditionalFormatting sqref="E9:H14">
    <cfRule type="expression" dxfId="18" priority="2" stopIfTrue="1">
      <formula>+IF((#REF!+#REF!+#REF!+#REF!+#REF!)&lt;&gt;$L9,1,0)</formula>
    </cfRule>
  </conditionalFormatting>
  <conditionalFormatting sqref="E15:H15">
    <cfRule type="expression" dxfId="17" priority="1" stopIfTrue="1">
      <formula>+IF((#REF!+#REF!+#REF!+#REF!+#REF!)&lt;&gt;$L15,1,0)</formula>
    </cfRule>
  </conditionalFormatting>
  <dataValidations count="3">
    <dataValidation type="list" allowBlank="1" showInputMessage="1" showErrorMessage="1" sqref="P9 P11:P15">
      <formula1>$Q$28:$Q$53</formula1>
    </dataValidation>
    <dataValidation type="list" allowBlank="1" showInputMessage="1" showErrorMessage="1" sqref="K11:K15 K9">
      <formula1>$I$22:$I$26</formula1>
    </dataValidation>
    <dataValidation type="list" allowBlank="1" showInputMessage="1" showErrorMessage="1" sqref="J9:J15">
      <formula1>$U$28:$U$36</formula1>
    </dataValidation>
  </dataValidations>
  <pageMargins left="0.7" right="0.7" top="0.75" bottom="0.75" header="0.3" footer="0.3"/>
  <pageSetup orientation="portrait" r:id="rId1"/>
  <ignoredErrors>
    <ignoredError sqref="Q9 Q11:Q15 R11" unlockedFormula="1"/>
    <ignoredError sqref="R16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15"/>
  <sheetViews>
    <sheetView topLeftCell="D1" workbookViewId="0">
      <selection activeCell="M14" sqref="M14"/>
    </sheetView>
  </sheetViews>
  <sheetFormatPr baseColWidth="10" defaultColWidth="11.453125" defaultRowHeight="14" x14ac:dyDescent="0.3"/>
  <cols>
    <col min="1" max="1" width="5.7265625" style="163" customWidth="1"/>
    <col min="2" max="2" width="26" style="163" customWidth="1"/>
    <col min="3" max="3" width="19.453125" style="163" customWidth="1"/>
    <col min="4" max="4" width="13.7265625" style="163" customWidth="1"/>
    <col min="5" max="5" width="6.453125" style="163" customWidth="1"/>
    <col min="6" max="6" width="7" style="163" customWidth="1"/>
    <col min="7" max="7" width="6.26953125" style="163" customWidth="1"/>
    <col min="8" max="8" width="5" style="163" customWidth="1"/>
    <col min="9" max="9" width="10" style="163" customWidth="1"/>
    <col min="10" max="10" width="19.453125" style="163" customWidth="1"/>
    <col min="11" max="11" width="17.7265625" style="163" customWidth="1"/>
    <col min="12" max="12" width="5.26953125" style="163" customWidth="1"/>
    <col min="13" max="13" width="21.54296875" style="163" customWidth="1"/>
    <col min="14" max="14" width="20.1796875" style="163" customWidth="1"/>
    <col min="15" max="15" width="11.453125" style="163"/>
    <col min="16" max="16" width="15.26953125" style="163" customWidth="1"/>
    <col min="17" max="17" width="18.1796875" style="163" customWidth="1"/>
    <col min="18" max="18" width="17.26953125" style="163" customWidth="1"/>
    <col min="19" max="19" width="15.453125" style="163" customWidth="1"/>
    <col min="20" max="20" width="15.54296875" style="163" customWidth="1"/>
    <col min="21" max="21" width="17.453125" style="163" customWidth="1"/>
    <col min="22" max="16384" width="11.453125" style="163"/>
  </cols>
  <sheetData>
    <row r="2" spans="2:21" ht="15.5" x14ac:dyDescent="0.3">
      <c r="N2" s="351" t="s">
        <v>0</v>
      </c>
      <c r="O2" s="351"/>
      <c r="P2" s="351"/>
      <c r="Q2" s="351"/>
      <c r="R2" s="351"/>
      <c r="S2" s="351"/>
      <c r="T2" s="351"/>
      <c r="U2" s="351"/>
    </row>
    <row r="3" spans="2:21" ht="18" x14ac:dyDescent="0.3">
      <c r="N3" s="387" t="s">
        <v>291</v>
      </c>
      <c r="O3" s="387"/>
      <c r="P3" s="387"/>
      <c r="Q3" s="387"/>
      <c r="R3" s="387"/>
      <c r="S3" s="387"/>
      <c r="T3" s="387"/>
      <c r="U3" s="387"/>
    </row>
    <row r="4" spans="2:21" ht="24" customHeight="1" x14ac:dyDescent="0.3"/>
    <row r="5" spans="2:21" x14ac:dyDescent="0.3">
      <c r="B5" s="282" t="s">
        <v>202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2:21" x14ac:dyDescent="0.3">
      <c r="B6" s="282" t="s">
        <v>221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1" x14ac:dyDescent="0.3">
      <c r="B7" s="284" t="s">
        <v>3</v>
      </c>
      <c r="C7" s="284"/>
      <c r="D7" s="284"/>
      <c r="E7" s="284"/>
      <c r="F7" s="284"/>
      <c r="G7" s="284"/>
      <c r="H7" s="284"/>
      <c r="I7" s="284"/>
      <c r="J7" s="284"/>
      <c r="K7" s="85"/>
      <c r="L7" s="284" t="s">
        <v>72</v>
      </c>
      <c r="M7" s="284"/>
      <c r="N7" s="284"/>
      <c r="O7" s="284"/>
      <c r="P7" s="284"/>
      <c r="Q7" s="285" t="s">
        <v>4</v>
      </c>
      <c r="R7" s="285"/>
      <c r="S7" s="285"/>
      <c r="T7" s="285"/>
      <c r="U7" s="286" t="s">
        <v>40</v>
      </c>
    </row>
    <row r="8" spans="2:21" ht="54.75" customHeight="1" x14ac:dyDescent="0.3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0" t="s">
        <v>361</v>
      </c>
      <c r="U8" s="286"/>
    </row>
    <row r="9" spans="2:21" ht="57.5" x14ac:dyDescent="0.3">
      <c r="B9" s="275" t="s">
        <v>222</v>
      </c>
      <c r="C9" s="216" t="s">
        <v>377</v>
      </c>
      <c r="D9" s="219" t="s">
        <v>378</v>
      </c>
      <c r="E9" s="57">
        <v>1</v>
      </c>
      <c r="F9" s="57">
        <v>1</v>
      </c>
      <c r="G9" s="57">
        <v>2</v>
      </c>
      <c r="H9" s="57">
        <v>2</v>
      </c>
      <c r="I9" s="152">
        <f t="shared" ref="I9:I14" si="0">SUM(E9:H9)</f>
        <v>6</v>
      </c>
      <c r="J9" s="60" t="s">
        <v>282</v>
      </c>
      <c r="K9" s="60" t="s">
        <v>113</v>
      </c>
      <c r="L9" s="59">
        <v>1</v>
      </c>
      <c r="M9" s="216" t="s">
        <v>377</v>
      </c>
      <c r="N9" s="213" t="s">
        <v>378</v>
      </c>
      <c r="O9" s="57">
        <v>1</v>
      </c>
      <c r="P9" s="60" t="s">
        <v>289</v>
      </c>
      <c r="Q9" s="145">
        <f>R9+S9+T9</f>
        <v>0</v>
      </c>
      <c r="R9" s="84">
        <v>0</v>
      </c>
      <c r="S9" s="84">
        <v>0</v>
      </c>
      <c r="T9" s="84">
        <v>0</v>
      </c>
      <c r="U9" s="64">
        <v>0</v>
      </c>
    </row>
    <row r="10" spans="2:21" ht="57.5" x14ac:dyDescent="0.3">
      <c r="B10" s="275"/>
      <c r="C10" s="69" t="s">
        <v>272</v>
      </c>
      <c r="D10" s="60" t="s">
        <v>273</v>
      </c>
      <c r="E10" s="57">
        <f>365*5</f>
        <v>1825</v>
      </c>
      <c r="F10" s="57">
        <f>365*5</f>
        <v>1825</v>
      </c>
      <c r="G10" s="57">
        <f>365*5</f>
        <v>1825</v>
      </c>
      <c r="H10" s="57">
        <f>365*5</f>
        <v>1825</v>
      </c>
      <c r="I10" s="59">
        <f t="shared" si="0"/>
        <v>7300</v>
      </c>
      <c r="J10" s="60" t="s">
        <v>282</v>
      </c>
      <c r="K10" s="60" t="s">
        <v>113</v>
      </c>
      <c r="L10" s="59">
        <v>2</v>
      </c>
      <c r="M10" s="69" t="s">
        <v>272</v>
      </c>
      <c r="N10" s="61" t="s">
        <v>285</v>
      </c>
      <c r="O10" s="57">
        <f>365*5</f>
        <v>1825</v>
      </c>
      <c r="P10" s="60" t="s">
        <v>290</v>
      </c>
      <c r="Q10" s="145">
        <f>R10+S10+T10</f>
        <v>155000000</v>
      </c>
      <c r="R10" s="84">
        <v>155000000</v>
      </c>
      <c r="S10" s="84">
        <v>0</v>
      </c>
      <c r="T10" s="84">
        <v>0</v>
      </c>
      <c r="U10" s="64">
        <v>0</v>
      </c>
    </row>
    <row r="11" spans="2:21" ht="57.5" x14ac:dyDescent="0.3">
      <c r="B11" s="275"/>
      <c r="C11" s="69" t="s">
        <v>274</v>
      </c>
      <c r="D11" s="60" t="s">
        <v>275</v>
      </c>
      <c r="E11" s="57">
        <v>100</v>
      </c>
      <c r="F11" s="57">
        <v>100</v>
      </c>
      <c r="G11" s="57">
        <v>100</v>
      </c>
      <c r="H11" s="57">
        <v>100</v>
      </c>
      <c r="I11" s="59">
        <f t="shared" si="0"/>
        <v>400</v>
      </c>
      <c r="J11" s="60" t="s">
        <v>282</v>
      </c>
      <c r="K11" s="60" t="s">
        <v>113</v>
      </c>
      <c r="L11" s="59">
        <v>3</v>
      </c>
      <c r="M11" s="69" t="s">
        <v>274</v>
      </c>
      <c r="N11" s="61" t="s">
        <v>286</v>
      </c>
      <c r="O11" s="57">
        <v>100</v>
      </c>
      <c r="P11" s="60" t="s">
        <v>290</v>
      </c>
      <c r="Q11" s="145">
        <f>R11+S11+T11</f>
        <v>165466580</v>
      </c>
      <c r="R11" s="84">
        <f>175000000-9533420</f>
        <v>165466580</v>
      </c>
      <c r="S11" s="84">
        <v>0</v>
      </c>
      <c r="T11" s="84">
        <v>0</v>
      </c>
      <c r="U11" s="64">
        <v>0</v>
      </c>
    </row>
    <row r="12" spans="2:21" ht="57.5" x14ac:dyDescent="0.3">
      <c r="B12" s="275" t="s">
        <v>276</v>
      </c>
      <c r="C12" s="321" t="s">
        <v>277</v>
      </c>
      <c r="D12" s="60" t="s">
        <v>278</v>
      </c>
      <c r="E12" s="58">
        <f>365*6</f>
        <v>2190</v>
      </c>
      <c r="F12" s="218">
        <f>365*6</f>
        <v>2190</v>
      </c>
      <c r="G12" s="58">
        <f>365*6</f>
        <v>2190</v>
      </c>
      <c r="H12" s="58">
        <f>365*6</f>
        <v>2190</v>
      </c>
      <c r="I12" s="59">
        <f t="shared" si="0"/>
        <v>8760</v>
      </c>
      <c r="J12" s="60" t="s">
        <v>282</v>
      </c>
      <c r="K12" s="60" t="s">
        <v>113</v>
      </c>
      <c r="L12" s="273">
        <v>4</v>
      </c>
      <c r="M12" s="321" t="s">
        <v>283</v>
      </c>
      <c r="N12" s="61" t="s">
        <v>287</v>
      </c>
      <c r="O12" s="153">
        <f>365*6</f>
        <v>2190</v>
      </c>
      <c r="P12" s="60" t="s">
        <v>290</v>
      </c>
      <c r="Q12" s="260">
        <f>R12+S12+T12</f>
        <v>0</v>
      </c>
      <c r="R12" s="324">
        <v>0</v>
      </c>
      <c r="S12" s="324">
        <v>0</v>
      </c>
      <c r="T12" s="324">
        <v>0</v>
      </c>
      <c r="U12" s="324">
        <f>1093937186+216462493+9438355</f>
        <v>1319838034</v>
      </c>
    </row>
    <row r="13" spans="2:21" ht="99" customHeight="1" x14ac:dyDescent="0.3">
      <c r="B13" s="275"/>
      <c r="C13" s="321"/>
      <c r="D13" s="60" t="s">
        <v>279</v>
      </c>
      <c r="E13" s="218">
        <v>25</v>
      </c>
      <c r="F13" s="220">
        <v>1</v>
      </c>
      <c r="G13" s="220">
        <v>1</v>
      </c>
      <c r="H13" s="220">
        <v>1</v>
      </c>
      <c r="I13" s="220">
        <v>1</v>
      </c>
      <c r="J13" s="60" t="s">
        <v>282</v>
      </c>
      <c r="K13" s="60" t="s">
        <v>113</v>
      </c>
      <c r="L13" s="273"/>
      <c r="M13" s="321"/>
      <c r="N13" s="212" t="s">
        <v>379</v>
      </c>
      <c r="O13" s="220">
        <v>1</v>
      </c>
      <c r="P13" s="60" t="s">
        <v>290</v>
      </c>
      <c r="Q13" s="260"/>
      <c r="R13" s="324"/>
      <c r="S13" s="324"/>
      <c r="T13" s="324"/>
      <c r="U13" s="324"/>
    </row>
    <row r="14" spans="2:21" ht="57.5" x14ac:dyDescent="0.3">
      <c r="B14" s="275"/>
      <c r="C14" s="60" t="s">
        <v>280</v>
      </c>
      <c r="D14" s="60" t="s">
        <v>281</v>
      </c>
      <c r="E14" s="58">
        <v>365</v>
      </c>
      <c r="F14" s="217">
        <v>1251</v>
      </c>
      <c r="G14" s="217">
        <v>1251</v>
      </c>
      <c r="H14" s="217">
        <v>1251</v>
      </c>
      <c r="I14" s="59">
        <f t="shared" si="0"/>
        <v>4118</v>
      </c>
      <c r="J14" s="60" t="s">
        <v>282</v>
      </c>
      <c r="K14" s="60" t="s">
        <v>113</v>
      </c>
      <c r="L14" s="59">
        <v>5</v>
      </c>
      <c r="M14" s="60" t="s">
        <v>284</v>
      </c>
      <c r="N14" s="61" t="s">
        <v>288</v>
      </c>
      <c r="O14" s="217">
        <v>1251</v>
      </c>
      <c r="P14" s="60" t="s">
        <v>290</v>
      </c>
      <c r="Q14" s="145">
        <f>R14+S14+T14</f>
        <v>0</v>
      </c>
      <c r="R14" s="64">
        <v>0</v>
      </c>
      <c r="S14" s="64">
        <v>0</v>
      </c>
      <c r="T14" s="64">
        <v>0</v>
      </c>
      <c r="U14" s="64">
        <v>0</v>
      </c>
    </row>
    <row r="15" spans="2:21" x14ac:dyDescent="0.3">
      <c r="B15" s="386" t="s">
        <v>53</v>
      </c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177">
        <f>SUM(R15:T15)</f>
        <v>320466580</v>
      </c>
      <c r="R15" s="177">
        <f>SUBTOTAL(9,R2:R14)</f>
        <v>320466580</v>
      </c>
      <c r="S15" s="177">
        <f>SUBTOTAL(9,S2:S14)</f>
        <v>0</v>
      </c>
      <c r="T15" s="177">
        <f>SUBTOTAL(9,T2:T14)</f>
        <v>0</v>
      </c>
      <c r="U15" s="177">
        <f>SUBTOTAL(9,U4:U14)</f>
        <v>1319838034</v>
      </c>
    </row>
  </sheetData>
  <mergeCells count="19">
    <mergeCell ref="N2:U2"/>
    <mergeCell ref="M12:M13"/>
    <mergeCell ref="Q12:Q13"/>
    <mergeCell ref="R12:R13"/>
    <mergeCell ref="S12:S13"/>
    <mergeCell ref="B15:P15"/>
    <mergeCell ref="N3:U3"/>
    <mergeCell ref="B12:B14"/>
    <mergeCell ref="C12:C13"/>
    <mergeCell ref="B9:B11"/>
    <mergeCell ref="T12:T13"/>
    <mergeCell ref="U12:U13"/>
    <mergeCell ref="B5:U5"/>
    <mergeCell ref="B6:U6"/>
    <mergeCell ref="B7:J7"/>
    <mergeCell ref="L7:P7"/>
    <mergeCell ref="Q7:T7"/>
    <mergeCell ref="U7:U8"/>
    <mergeCell ref="L12:L13"/>
  </mergeCells>
  <conditionalFormatting sqref="E9:H9">
    <cfRule type="expression" dxfId="16" priority="12" stopIfTrue="1">
      <formula>+IF((#REF!+#REF!+#REF!+#REF!+#REF!)&lt;&gt;$J9,1,0)</formula>
    </cfRule>
  </conditionalFormatting>
  <conditionalFormatting sqref="E10:H10">
    <cfRule type="expression" dxfId="15" priority="11" stopIfTrue="1">
      <formula>+IF((#REF!+#REF!+#REF!+#REF!+#REF!)&lt;&gt;$J10,1,0)</formula>
    </cfRule>
  </conditionalFormatting>
  <conditionalFormatting sqref="E11:H11">
    <cfRule type="expression" dxfId="14" priority="10" stopIfTrue="1">
      <formula>+IF((#REF!+#REF!+#REF!+#REF!+#REF!)&lt;&gt;$J11,1,0)</formula>
    </cfRule>
  </conditionalFormatting>
  <conditionalFormatting sqref="E12:H12">
    <cfRule type="expression" dxfId="13" priority="9" stopIfTrue="1">
      <formula>+IF((#REF!+#REF!+#REF!+#REF!+#REF!)&lt;&gt;$J12,1,0)</formula>
    </cfRule>
  </conditionalFormatting>
  <conditionalFormatting sqref="E13:H13">
    <cfRule type="expression" dxfId="12" priority="8" stopIfTrue="1">
      <formula>+IF((#REF!+#REF!+#REF!+#REF!+#REF!)&lt;&gt;$J13,1,0)</formula>
    </cfRule>
  </conditionalFormatting>
  <conditionalFormatting sqref="E14:H14">
    <cfRule type="expression" dxfId="11" priority="7" stopIfTrue="1">
      <formula>+IF((#REF!+#REF!+#REF!+#REF!+#REF!)&lt;&gt;$J14,1,0)</formula>
    </cfRule>
  </conditionalFormatting>
  <conditionalFormatting sqref="O9">
    <cfRule type="expression" dxfId="10" priority="6" stopIfTrue="1">
      <formula>+IF((#REF!+#REF!+#REF!+#REF!+#REF!)&lt;&gt;$L9,1,0)</formula>
    </cfRule>
  </conditionalFormatting>
  <conditionalFormatting sqref="O10">
    <cfRule type="expression" dxfId="9" priority="5" stopIfTrue="1">
      <formula>+IF((#REF!+#REF!+#REF!+#REF!+#REF!)&lt;&gt;$L10,1,0)</formula>
    </cfRule>
  </conditionalFormatting>
  <conditionalFormatting sqref="O11">
    <cfRule type="expression" dxfId="8" priority="4" stopIfTrue="1">
      <formula>+IF((#REF!+#REF!+#REF!+#REF!+#REF!)&lt;&gt;$L11,1,0)</formula>
    </cfRule>
  </conditionalFormatting>
  <conditionalFormatting sqref="O14">
    <cfRule type="expression" dxfId="7" priority="3" stopIfTrue="1">
      <formula>+IF((#REF!+#REF!+#REF!+#REF!+#REF!)&lt;&gt;$L14,1,0)</formula>
    </cfRule>
  </conditionalFormatting>
  <conditionalFormatting sqref="I13">
    <cfRule type="expression" dxfId="6" priority="2" stopIfTrue="1">
      <formula>+IF((#REF!+#REF!+#REF!+#REF!+#REF!)&lt;&gt;$J13,1,0)</formula>
    </cfRule>
  </conditionalFormatting>
  <conditionalFormatting sqref="O13">
    <cfRule type="expression" dxfId="5" priority="1" stopIfTrue="1">
      <formula>+IF((#REF!+#REF!+#REF!+#REF!+#REF!)&lt;&gt;$J13,1,0)</formula>
    </cfRule>
  </conditionalFormatting>
  <dataValidations count="4">
    <dataValidation type="list" allowBlank="1" showInputMessage="1" showErrorMessage="1" sqref="J9:J14">
      <formula1>$S$28:$S$36</formula1>
    </dataValidation>
    <dataValidation type="list" allowBlank="1" showInputMessage="1" showErrorMessage="1" sqref="K9:K14">
      <formula1>$G$23:$G$26</formula1>
    </dataValidation>
    <dataValidation type="list" allowBlank="1" showInputMessage="1" showErrorMessage="1" sqref="P9">
      <formula1>$P$28:$P$53</formula1>
    </dataValidation>
    <dataValidation type="list" allowBlank="1" showInputMessage="1" showErrorMessage="1" sqref="P10:P14">
      <formula1>$Q$29:$Q$54</formula1>
    </dataValidation>
  </dataValidations>
  <pageMargins left="0.7" right="0.7" top="0.75" bottom="0.75" header="0.3" footer="0.3"/>
  <pageSetup orientation="portrait" r:id="rId1"/>
  <ignoredErrors>
    <ignoredError sqref="Q14 Q9:Q12 R11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15"/>
  <sheetViews>
    <sheetView topLeftCell="L13" workbookViewId="0">
      <selection activeCell="N14" sqref="N14"/>
    </sheetView>
  </sheetViews>
  <sheetFormatPr baseColWidth="10" defaultRowHeight="14.5" x14ac:dyDescent="0.35"/>
  <cols>
    <col min="3" max="3" width="21.26953125" customWidth="1"/>
    <col min="4" max="4" width="15.81640625" customWidth="1"/>
    <col min="5" max="5" width="4.81640625" customWidth="1"/>
    <col min="6" max="6" width="5.54296875" customWidth="1"/>
    <col min="7" max="7" width="5.1796875" customWidth="1"/>
    <col min="8" max="8" width="5.54296875" customWidth="1"/>
    <col min="9" max="9" width="9.26953125" customWidth="1"/>
    <col min="11" max="11" width="19.26953125" customWidth="1"/>
    <col min="12" max="12" width="5.1796875" customWidth="1"/>
    <col min="13" max="13" width="20.1796875" customWidth="1"/>
    <col min="14" max="14" width="17.54296875" customWidth="1"/>
    <col min="15" max="15" width="8.81640625" customWidth="1"/>
    <col min="16" max="16" width="20.453125" customWidth="1"/>
    <col min="17" max="17" width="19.7265625" customWidth="1"/>
    <col min="18" max="18" width="19.26953125" customWidth="1"/>
    <col min="19" max="19" width="16.54296875" customWidth="1"/>
    <col min="20" max="20" width="20.81640625" customWidth="1"/>
    <col min="21" max="21" width="20" customWidth="1"/>
  </cols>
  <sheetData>
    <row r="2" spans="2:21" ht="15.5" x14ac:dyDescent="0.35">
      <c r="M2" s="290" t="s">
        <v>0</v>
      </c>
      <c r="N2" s="290"/>
      <c r="O2" s="290"/>
      <c r="P2" s="290"/>
      <c r="Q2" s="290"/>
      <c r="R2" s="290"/>
      <c r="S2" s="290"/>
      <c r="T2" s="290"/>
      <c r="U2" s="290"/>
    </row>
    <row r="3" spans="2:21" ht="18" x14ac:dyDescent="0.35">
      <c r="M3" s="291" t="s">
        <v>310</v>
      </c>
      <c r="N3" s="291"/>
      <c r="O3" s="291"/>
      <c r="P3" s="291"/>
      <c r="Q3" s="291"/>
      <c r="R3" s="291"/>
      <c r="S3" s="291"/>
      <c r="T3" s="291"/>
      <c r="U3" s="291"/>
    </row>
    <row r="5" spans="2:21" x14ac:dyDescent="0.35">
      <c r="B5" s="282" t="s">
        <v>23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2:21" x14ac:dyDescent="0.35">
      <c r="B6" s="282" t="s">
        <v>154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1" x14ac:dyDescent="0.35">
      <c r="B7" s="282" t="s">
        <v>155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</row>
    <row r="8" spans="2:21" x14ac:dyDescent="0.35">
      <c r="B8" s="284" t="s">
        <v>3</v>
      </c>
      <c r="C8" s="284"/>
      <c r="D8" s="284"/>
      <c r="E8" s="284"/>
      <c r="F8" s="284"/>
      <c r="G8" s="284"/>
      <c r="H8" s="284"/>
      <c r="I8" s="284"/>
      <c r="J8" s="284"/>
      <c r="K8" s="85"/>
      <c r="L8" s="284" t="s">
        <v>72</v>
      </c>
      <c r="M8" s="284"/>
      <c r="N8" s="284"/>
      <c r="O8" s="284"/>
      <c r="P8" s="284"/>
      <c r="Q8" s="285" t="s">
        <v>4</v>
      </c>
      <c r="R8" s="285"/>
      <c r="S8" s="285"/>
      <c r="T8" s="285"/>
      <c r="U8" s="286" t="s">
        <v>40</v>
      </c>
    </row>
    <row r="9" spans="2:21" ht="48" customHeight="1" x14ac:dyDescent="0.35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86" t="s">
        <v>48</v>
      </c>
      <c r="Q9" s="87" t="s">
        <v>17</v>
      </c>
      <c r="R9" s="87" t="s">
        <v>18</v>
      </c>
      <c r="S9" s="87" t="s">
        <v>19</v>
      </c>
      <c r="T9" s="200" t="s">
        <v>361</v>
      </c>
      <c r="U9" s="286"/>
    </row>
    <row r="10" spans="2:21" ht="67.5" customHeight="1" x14ac:dyDescent="0.35">
      <c r="B10" s="275" t="s">
        <v>292</v>
      </c>
      <c r="C10" s="60" t="s">
        <v>293</v>
      </c>
      <c r="D10" s="60" t="s">
        <v>294</v>
      </c>
      <c r="E10" s="70">
        <v>0.3</v>
      </c>
      <c r="F10" s="70">
        <v>0.2</v>
      </c>
      <c r="G10" s="70">
        <v>0.3</v>
      </c>
      <c r="H10" s="70">
        <v>0.2</v>
      </c>
      <c r="I10" s="71">
        <f>SUM(E10:H10)</f>
        <v>1</v>
      </c>
      <c r="J10" s="60" t="s">
        <v>302</v>
      </c>
      <c r="K10" s="60" t="s">
        <v>118</v>
      </c>
      <c r="L10" s="59">
        <v>1</v>
      </c>
      <c r="M10" s="56" t="s">
        <v>303</v>
      </c>
      <c r="N10" s="60" t="s">
        <v>376</v>
      </c>
      <c r="O10" s="71">
        <v>0.2</v>
      </c>
      <c r="P10" s="60" t="s">
        <v>309</v>
      </c>
      <c r="Q10" s="145">
        <f>SUM(R10:T10)</f>
        <v>1570080000</v>
      </c>
      <c r="R10" s="84">
        <f>1570080000-172080000</f>
        <v>1398000000</v>
      </c>
      <c r="S10" s="84">
        <v>0</v>
      </c>
      <c r="T10" s="84">
        <v>172080000</v>
      </c>
      <c r="U10" s="84">
        <v>0</v>
      </c>
    </row>
    <row r="11" spans="2:21" ht="62.25" customHeight="1" x14ac:dyDescent="0.35">
      <c r="B11" s="275"/>
      <c r="C11" s="60" t="s">
        <v>295</v>
      </c>
      <c r="D11" s="60" t="s">
        <v>294</v>
      </c>
      <c r="E11" s="70">
        <v>0.25</v>
      </c>
      <c r="F11" s="70">
        <v>0.25</v>
      </c>
      <c r="G11" s="70">
        <v>0.25</v>
      </c>
      <c r="H11" s="70">
        <v>0.25</v>
      </c>
      <c r="I11" s="71">
        <f>SUM(E11:H11)</f>
        <v>1</v>
      </c>
      <c r="J11" s="60" t="s">
        <v>302</v>
      </c>
      <c r="K11" s="60" t="s">
        <v>168</v>
      </c>
      <c r="L11" s="59">
        <v>2</v>
      </c>
      <c r="M11" s="56" t="s">
        <v>304</v>
      </c>
      <c r="N11" s="60" t="s">
        <v>376</v>
      </c>
      <c r="O11" s="71">
        <v>0.25</v>
      </c>
      <c r="P11" s="60" t="s">
        <v>309</v>
      </c>
      <c r="Q11" s="145">
        <f>SUM(R11:T11)</f>
        <v>0</v>
      </c>
      <c r="R11" s="84">
        <v>0</v>
      </c>
      <c r="S11" s="84">
        <v>0</v>
      </c>
      <c r="T11" s="84">
        <v>0</v>
      </c>
      <c r="U11" s="84">
        <v>42230000</v>
      </c>
    </row>
    <row r="12" spans="2:21" ht="87" customHeight="1" x14ac:dyDescent="0.35">
      <c r="B12" s="275"/>
      <c r="C12" s="60" t="s">
        <v>296</v>
      </c>
      <c r="D12" s="60" t="s">
        <v>297</v>
      </c>
      <c r="E12" s="70">
        <v>0.99</v>
      </c>
      <c r="F12" s="70">
        <v>0.99</v>
      </c>
      <c r="G12" s="70">
        <v>0.99</v>
      </c>
      <c r="H12" s="70">
        <v>0.99</v>
      </c>
      <c r="I12" s="71">
        <v>0.99</v>
      </c>
      <c r="J12" s="60" t="s">
        <v>302</v>
      </c>
      <c r="K12" s="60" t="s">
        <v>30</v>
      </c>
      <c r="L12" s="59">
        <v>3</v>
      </c>
      <c r="M12" s="56" t="s">
        <v>305</v>
      </c>
      <c r="N12" s="60" t="s">
        <v>297</v>
      </c>
      <c r="O12" s="71">
        <v>0.99</v>
      </c>
      <c r="P12" s="60" t="s">
        <v>309</v>
      </c>
      <c r="Q12" s="145">
        <f>SUM(R12:T12)</f>
        <v>2234585570</v>
      </c>
      <c r="R12" s="84">
        <f>2449920000-121334430-1377920000-94000000</f>
        <v>856665570</v>
      </c>
      <c r="S12" s="84">
        <v>0</v>
      </c>
      <c r="T12" s="84">
        <v>1377920000</v>
      </c>
      <c r="U12" s="84">
        <f>3774612868-2266887.65</f>
        <v>3772345980.3499999</v>
      </c>
    </row>
    <row r="13" spans="2:21" ht="57" customHeight="1" x14ac:dyDescent="0.35">
      <c r="B13" s="275"/>
      <c r="C13" s="60" t="s">
        <v>298</v>
      </c>
      <c r="D13" s="60" t="s">
        <v>299</v>
      </c>
      <c r="E13" s="70">
        <v>0.4</v>
      </c>
      <c r="F13" s="70">
        <v>0.2</v>
      </c>
      <c r="G13" s="70">
        <v>0.2</v>
      </c>
      <c r="H13" s="70">
        <v>0.2</v>
      </c>
      <c r="I13" s="71">
        <f>SUM(E13:H13)</f>
        <v>1</v>
      </c>
      <c r="J13" s="60" t="s">
        <v>302</v>
      </c>
      <c r="K13" s="60" t="s">
        <v>118</v>
      </c>
      <c r="L13" s="59">
        <v>4</v>
      </c>
      <c r="M13" s="56" t="s">
        <v>306</v>
      </c>
      <c r="N13" s="60" t="s">
        <v>299</v>
      </c>
      <c r="O13" s="71">
        <v>0.2</v>
      </c>
      <c r="P13" s="60" t="s">
        <v>309</v>
      </c>
      <c r="Q13" s="145">
        <f>SUM(R13:T13)</f>
        <v>0</v>
      </c>
      <c r="R13" s="84">
        <v>0</v>
      </c>
      <c r="S13" s="84">
        <v>0</v>
      </c>
      <c r="T13" s="84">
        <v>0</v>
      </c>
      <c r="U13" s="84">
        <v>31000000</v>
      </c>
    </row>
    <row r="14" spans="2:21" ht="75" customHeight="1" x14ac:dyDescent="0.35">
      <c r="B14" s="275"/>
      <c r="C14" s="60" t="s">
        <v>300</v>
      </c>
      <c r="D14" s="60" t="s">
        <v>301</v>
      </c>
      <c r="E14" s="70">
        <v>0.25</v>
      </c>
      <c r="F14" s="70">
        <v>0.25</v>
      </c>
      <c r="G14" s="70">
        <v>0.3</v>
      </c>
      <c r="H14" s="70">
        <v>0.2</v>
      </c>
      <c r="I14" s="71">
        <f>SUM(E14:H14)</f>
        <v>1</v>
      </c>
      <c r="J14" s="60" t="s">
        <v>302</v>
      </c>
      <c r="K14" s="60" t="s">
        <v>168</v>
      </c>
      <c r="L14" s="59">
        <v>5</v>
      </c>
      <c r="M14" s="56" t="s">
        <v>307</v>
      </c>
      <c r="N14" s="60" t="s">
        <v>308</v>
      </c>
      <c r="O14" s="71">
        <v>0.25</v>
      </c>
      <c r="P14" s="60" t="s">
        <v>309</v>
      </c>
      <c r="Q14" s="145">
        <f>SUM(R14:T14)</f>
        <v>274000000</v>
      </c>
      <c r="R14" s="84">
        <f>180000000+94000000</f>
        <v>274000000</v>
      </c>
      <c r="S14" s="84">
        <v>0</v>
      </c>
      <c r="T14" s="84">
        <v>0</v>
      </c>
      <c r="U14" s="84">
        <v>0</v>
      </c>
    </row>
    <row r="15" spans="2:21" ht="15.5" x14ac:dyDescent="0.35">
      <c r="B15" s="365" t="s">
        <v>53</v>
      </c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154">
        <f>SUM(Q10:Q14)</f>
        <v>4078665570</v>
      </c>
      <c r="R15" s="154">
        <f>SUM(R10:R14)</f>
        <v>2528665570</v>
      </c>
      <c r="S15" s="154">
        <f>SUM(S10:S14)</f>
        <v>0</v>
      </c>
      <c r="T15" s="154">
        <f>SUM(T10:T14)</f>
        <v>1550000000</v>
      </c>
      <c r="U15" s="154">
        <f>SUM(U10:U14)</f>
        <v>3845575980.3499999</v>
      </c>
    </row>
  </sheetData>
  <mergeCells count="11">
    <mergeCell ref="U8:U9"/>
    <mergeCell ref="B10:B14"/>
    <mergeCell ref="B15:P15"/>
    <mergeCell ref="M3:U3"/>
    <mergeCell ref="M2:U2"/>
    <mergeCell ref="B5:U5"/>
    <mergeCell ref="B6:U6"/>
    <mergeCell ref="B7:U7"/>
    <mergeCell ref="B8:J8"/>
    <mergeCell ref="L8:P8"/>
    <mergeCell ref="Q8:T8"/>
  </mergeCells>
  <conditionalFormatting sqref="E10:H14">
    <cfRule type="expression" dxfId="4" priority="1" stopIfTrue="1">
      <formula>+IF((#REF!+#REF!+#REF!+#REF!+#REF!)&lt;&gt;$L10,1,0)</formula>
    </cfRule>
  </conditionalFormatting>
  <dataValidations count="3">
    <dataValidation type="list" allowBlank="1" showInputMessage="1" showErrorMessage="1" sqref="J10:J14">
      <formula1>$U$25:$U$33</formula1>
    </dataValidation>
    <dataValidation type="list" allowBlank="1" showInputMessage="1" showErrorMessage="1" sqref="K10:K14">
      <formula1>$I$19:$I$23</formula1>
    </dataValidation>
    <dataValidation type="list" allowBlank="1" showInputMessage="1" showErrorMessage="1" sqref="P10:P14">
      <formula1>$Q$25:$Q$50</formula1>
    </dataValidation>
  </dataValidations>
  <pageMargins left="0.7" right="0.7" top="0.75" bottom="0.75" header="0.3" footer="0.3"/>
  <ignoredErrors>
    <ignoredError sqref="Q10:Q14" formulaRange="1" unlockedFormula="1"/>
    <ignoredError sqref="R10 R12 R14 U12" unlockedFormula="1"/>
  </ignoredErrors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V14"/>
  <sheetViews>
    <sheetView tabSelected="1" topLeftCell="A7" workbookViewId="0">
      <selection activeCell="H19" sqref="H19"/>
    </sheetView>
  </sheetViews>
  <sheetFormatPr baseColWidth="10" defaultRowHeight="14.5" x14ac:dyDescent="0.35"/>
  <cols>
    <col min="1" max="1" width="5.81640625" customWidth="1"/>
    <col min="2" max="2" width="17.81640625" customWidth="1"/>
    <col min="3" max="3" width="16.1796875" customWidth="1"/>
    <col min="5" max="5" width="6.1796875" customWidth="1"/>
    <col min="6" max="7" width="6" customWidth="1"/>
    <col min="8" max="8" width="6.1796875" customWidth="1"/>
    <col min="9" max="9" width="9.7265625" customWidth="1"/>
    <col min="10" max="11" width="14.7265625" customWidth="1"/>
    <col min="12" max="12" width="5.54296875" customWidth="1"/>
    <col min="13" max="13" width="18.26953125" customWidth="1"/>
    <col min="16" max="16" width="13" customWidth="1"/>
    <col min="17" max="17" width="16.26953125" customWidth="1"/>
    <col min="18" max="18" width="18.26953125" customWidth="1"/>
    <col min="21" max="21" width="17" customWidth="1"/>
  </cols>
  <sheetData>
    <row r="3" spans="2:22" ht="15.5" x14ac:dyDescent="0.35">
      <c r="N3" s="290" t="s">
        <v>0</v>
      </c>
      <c r="O3" s="290"/>
      <c r="P3" s="290"/>
      <c r="Q3" s="290"/>
      <c r="R3" s="290"/>
      <c r="S3" s="290"/>
      <c r="T3" s="290"/>
      <c r="U3" s="290"/>
    </row>
    <row r="4" spans="2:22" ht="18" x14ac:dyDescent="0.35">
      <c r="N4" s="291" t="s">
        <v>2</v>
      </c>
      <c r="O4" s="291"/>
      <c r="P4" s="291"/>
      <c r="Q4" s="291"/>
      <c r="R4" s="291"/>
      <c r="S4" s="291"/>
      <c r="T4" s="291"/>
      <c r="U4" s="291"/>
    </row>
    <row r="6" spans="2:22" x14ac:dyDescent="0.35">
      <c r="B6" s="282" t="s">
        <v>23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</row>
    <row r="7" spans="2:22" x14ac:dyDescent="0.35">
      <c r="B7" s="54" t="s">
        <v>154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73"/>
      <c r="Q7" s="174"/>
      <c r="R7" s="174"/>
      <c r="S7" s="174"/>
      <c r="T7" s="174"/>
      <c r="U7" s="175"/>
      <c r="V7" s="40"/>
    </row>
    <row r="8" spans="2:22" x14ac:dyDescent="0.35">
      <c r="B8" s="282" t="s">
        <v>155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</row>
    <row r="9" spans="2:22" x14ac:dyDescent="0.35">
      <c r="B9" s="284" t="s">
        <v>3</v>
      </c>
      <c r="C9" s="284"/>
      <c r="D9" s="284"/>
      <c r="E9" s="284"/>
      <c r="F9" s="284"/>
      <c r="G9" s="284"/>
      <c r="H9" s="284"/>
      <c r="I9" s="284"/>
      <c r="J9" s="284"/>
      <c r="K9" s="85"/>
      <c r="L9" s="284" t="s">
        <v>72</v>
      </c>
      <c r="M9" s="284"/>
      <c r="N9" s="284"/>
      <c r="O9" s="284"/>
      <c r="P9" s="284"/>
      <c r="Q9" s="285" t="s">
        <v>4</v>
      </c>
      <c r="R9" s="285"/>
      <c r="S9" s="285"/>
      <c r="T9" s="285"/>
      <c r="U9" s="286" t="s">
        <v>40</v>
      </c>
    </row>
    <row r="10" spans="2:22" ht="48.75" customHeight="1" x14ac:dyDescent="0.35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200" t="s">
        <v>361</v>
      </c>
      <c r="U10" s="286"/>
    </row>
    <row r="11" spans="2:22" ht="34.5" x14ac:dyDescent="0.35">
      <c r="B11" s="327" t="s">
        <v>292</v>
      </c>
      <c r="C11" s="277" t="s">
        <v>311</v>
      </c>
      <c r="D11" s="321" t="s">
        <v>312</v>
      </c>
      <c r="E11" s="389">
        <v>1</v>
      </c>
      <c r="F11" s="389">
        <v>1</v>
      </c>
      <c r="G11" s="389">
        <v>1</v>
      </c>
      <c r="H11" s="389">
        <v>1</v>
      </c>
      <c r="I11" s="391">
        <f>SUM(E11:H12)</f>
        <v>4</v>
      </c>
      <c r="J11" s="321" t="s">
        <v>313</v>
      </c>
      <c r="K11" s="257" t="s">
        <v>168</v>
      </c>
      <c r="L11" s="59">
        <v>1</v>
      </c>
      <c r="M11" s="60" t="s">
        <v>314</v>
      </c>
      <c r="N11" s="60" t="s">
        <v>387</v>
      </c>
      <c r="O11" s="160">
        <v>1</v>
      </c>
      <c r="P11" s="280" t="s">
        <v>315</v>
      </c>
      <c r="Q11" s="82">
        <f>SUM(R11:T11)</f>
        <v>67977760</v>
      </c>
      <c r="R11" s="84">
        <f>70000000-2022240</f>
        <v>67977760</v>
      </c>
      <c r="S11" s="84"/>
      <c r="T11" s="84"/>
      <c r="U11" s="64">
        <f>2986512+61000000</f>
        <v>63986512</v>
      </c>
    </row>
    <row r="12" spans="2:22" x14ac:dyDescent="0.35">
      <c r="B12" s="327"/>
      <c r="C12" s="277"/>
      <c r="D12" s="321"/>
      <c r="E12" s="389"/>
      <c r="F12" s="389"/>
      <c r="G12" s="389"/>
      <c r="H12" s="389"/>
      <c r="I12" s="391"/>
      <c r="J12" s="321"/>
      <c r="K12" s="257"/>
      <c r="L12" s="273">
        <v>2</v>
      </c>
      <c r="M12" s="257" t="s">
        <v>385</v>
      </c>
      <c r="N12" s="257" t="s">
        <v>386</v>
      </c>
      <c r="O12" s="390">
        <v>1</v>
      </c>
      <c r="P12" s="299"/>
      <c r="Q12" s="274">
        <f>SUM(R13:T13)</f>
        <v>0</v>
      </c>
      <c r="R12" s="324">
        <v>0</v>
      </c>
      <c r="S12" s="388"/>
      <c r="T12" s="388"/>
      <c r="U12" s="262">
        <v>0</v>
      </c>
    </row>
    <row r="13" spans="2:22" ht="34.5" x14ac:dyDescent="0.35">
      <c r="B13" s="327"/>
      <c r="C13" s="277"/>
      <c r="D13" s="77" t="s">
        <v>316</v>
      </c>
      <c r="E13" s="156">
        <v>0</v>
      </c>
      <c r="F13" s="156">
        <v>0</v>
      </c>
      <c r="G13" s="156">
        <v>0</v>
      </c>
      <c r="H13" s="156">
        <v>1</v>
      </c>
      <c r="I13" s="157">
        <f>SUM(E13:H14)</f>
        <v>1</v>
      </c>
      <c r="J13" s="77" t="s">
        <v>313</v>
      </c>
      <c r="K13" s="257"/>
      <c r="L13" s="273"/>
      <c r="M13" s="257"/>
      <c r="N13" s="257"/>
      <c r="O13" s="390"/>
      <c r="P13" s="281"/>
      <c r="Q13" s="274"/>
      <c r="R13" s="324"/>
      <c r="S13" s="388"/>
      <c r="T13" s="388"/>
      <c r="U13" s="262"/>
    </row>
    <row r="14" spans="2:22" ht="15.5" x14ac:dyDescent="0.35">
      <c r="B14" s="365" t="s">
        <v>53</v>
      </c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90">
        <f>Q11+Q13</f>
        <v>67977760</v>
      </c>
      <c r="R14" s="90">
        <f>SUBTOTAL(9,R11:R13)</f>
        <v>67977760</v>
      </c>
      <c r="S14" s="90">
        <f>SUBTOTAL(9,S11:S13)</f>
        <v>0</v>
      </c>
      <c r="T14" s="90">
        <f>SUBTOTAL(9,T11:T13)</f>
        <v>0</v>
      </c>
      <c r="U14" s="165">
        <f>U11+U13</f>
        <v>63986512</v>
      </c>
    </row>
  </sheetData>
  <mergeCells count="29">
    <mergeCell ref="L9:P9"/>
    <mergeCell ref="Q9:T9"/>
    <mergeCell ref="B14:P14"/>
    <mergeCell ref="H11:H12"/>
    <mergeCell ref="I11:I12"/>
    <mergeCell ref="J11:J12"/>
    <mergeCell ref="K11:K13"/>
    <mergeCell ref="P11:P13"/>
    <mergeCell ref="E11:E12"/>
    <mergeCell ref="F11:F12"/>
    <mergeCell ref="G11:G12"/>
    <mergeCell ref="N12:N13"/>
    <mergeCell ref="O12:O13"/>
    <mergeCell ref="U9:U10"/>
    <mergeCell ref="N4:U4"/>
    <mergeCell ref="N3:U3"/>
    <mergeCell ref="Q12:Q13"/>
    <mergeCell ref="R12:R13"/>
    <mergeCell ref="S12:S13"/>
    <mergeCell ref="T12:T13"/>
    <mergeCell ref="U12:U13"/>
    <mergeCell ref="B6:U6"/>
    <mergeCell ref="B8:U8"/>
    <mergeCell ref="L12:L13"/>
    <mergeCell ref="M12:M13"/>
    <mergeCell ref="B9:J9"/>
    <mergeCell ref="B11:B13"/>
    <mergeCell ref="C11:C13"/>
    <mergeCell ref="D11:D12"/>
  </mergeCells>
  <conditionalFormatting sqref="E11:H11">
    <cfRule type="expression" dxfId="3" priority="1" stopIfTrue="1">
      <formula>+IF((#REF!+#REF!+#REF!+#REF!+#REF!)&lt;&gt;$L11,1,0)</formula>
    </cfRule>
  </conditionalFormatting>
  <dataValidations count="3">
    <dataValidation type="list" allowBlank="1" showInputMessage="1" showErrorMessage="1" sqref="P11">
      <formula1>$Q$26:$Q$51</formula1>
    </dataValidation>
    <dataValidation type="list" allowBlank="1" showInputMessage="1" showErrorMessage="1" sqref="K11">
      <formula1>$I$20:$I$24</formula1>
    </dataValidation>
    <dataValidation type="list" allowBlank="1" showInputMessage="1" showErrorMessage="1" sqref="J11:J13">
      <formula1>$U$27:$U$35</formula1>
    </dataValidation>
  </dataValidations>
  <pageMargins left="0.7" right="0.7" top="0.75" bottom="0.75" header="0.3" footer="0.3"/>
  <ignoredErrors>
    <ignoredError sqref="Q11" formulaRange="1" unlockedFormula="1"/>
    <ignoredError sqref="Q12 R11" unlocked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PRESUPUESTO POA 2016</vt:lpstr>
      <vt:lpstr>ESTUDIOS AMBIENTALES</vt:lpstr>
      <vt:lpstr>HIDROLOGÍA</vt:lpstr>
      <vt:lpstr>ECOSISTEMAS</vt:lpstr>
      <vt:lpstr>METEOROLOGÍA</vt:lpstr>
      <vt:lpstr>REDES</vt:lpstr>
      <vt:lpstr>PRONÓSTICOS</vt:lpstr>
      <vt:lpstr>INFORMÁTICA</vt:lpstr>
      <vt:lpstr>PLANEACIÓN</vt:lpstr>
      <vt:lpstr>SECRETARÍA GENERAL</vt:lpstr>
      <vt:lpstr>'ESTUDIOS AMBIENTALES'!Área_de_impresión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Celmira Perez Fernandez;jlobo</dc:creator>
  <cp:lastModifiedBy>Planeacion Ideam</cp:lastModifiedBy>
  <cp:lastPrinted>2015-11-26T14:25:58Z</cp:lastPrinted>
  <dcterms:created xsi:type="dcterms:W3CDTF">2014-11-14T17:12:42Z</dcterms:created>
  <dcterms:modified xsi:type="dcterms:W3CDTF">2016-08-03T19:07:01Z</dcterms:modified>
</cp:coreProperties>
</file>