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6605" windowHeight="9435" activeTab="16"/>
  </bookViews>
  <sheets>
    <sheet name="MapaRiesgos Gest Comunicaci" sheetId="21" r:id="rId1"/>
    <sheet name="MapaRiesgos Gest Planeación" sheetId="20" r:id="rId2"/>
    <sheet name="MapaRiesgos Gener datos e inf " sheetId="17" r:id="rId3"/>
    <sheet name="MapaRiesgos Gen Conoci e Inv " sheetId="18" r:id="rId4"/>
    <sheet name="Mapa Riesgos Acreditac. de labo" sheetId="30" r:id="rId5"/>
    <sheet name="Mapa Riesgos Serv. Laboratorio" sheetId="32" r:id="rId6"/>
    <sheet name="MapaRiesgos Gest Juríd Contract" sheetId="7" r:id="rId7"/>
    <sheet name="MapaRiesgos Atención ciudadano" sheetId="24" r:id="rId8"/>
    <sheet name="MapaRiesgos Gest Finan-Contab" sheetId="5" r:id="rId9"/>
    <sheet name="MapaRiesgos Gest Finan-Presupue" sheetId="15" r:id="rId10"/>
    <sheet name="MapaRiesgos Gest Finan-Tesorerí" sheetId="13" r:id="rId11"/>
    <sheet name="MapaRiesgos Gest Informática" sheetId="8" r:id="rId12"/>
    <sheet name="MapaRiesgos Serv Adtivos" sheetId="9" r:id="rId13"/>
    <sheet name="MapaRiesgos Gest Des Talento H" sheetId="10" r:id="rId14"/>
    <sheet name="MapaRiesgo Gest Cont Discip Int" sheetId="12" r:id="rId15"/>
    <sheet name="MapaRiesgos Gest Mejoram Contin" sheetId="16" r:id="rId16"/>
    <sheet name="Mapa de Riesgos Ges Docum." sheetId="31" r:id="rId17"/>
    <sheet name="Hoja1" sheetId="25"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xlnm.Print_Area" localSheetId="7">'MapaRiesgos Atención ciudadano'!$A$1:$AU$32</definedName>
    <definedName name="_xlnm.Print_Area" localSheetId="3">'MapaRiesgos Gen Conoci e Inv '!$A$1:$BU$31</definedName>
    <definedName name="_xlnm.Print_Area" localSheetId="2">'MapaRiesgos Gener datos e inf '!$A$1:$BW$37</definedName>
  </definedNames>
  <calcPr calcId="145621"/>
</workbook>
</file>

<file path=xl/calcChain.xml><?xml version="1.0" encoding="utf-8"?>
<calcChain xmlns="http://schemas.openxmlformats.org/spreadsheetml/2006/main">
  <c r="U18" i="5" l="1"/>
  <c r="H17" i="24"/>
  <c r="G17" i="24"/>
  <c r="BT17" i="31" l="1"/>
  <c r="BS17" i="31"/>
  <c r="BR17" i="31"/>
  <c r="BQ17" i="31"/>
  <c r="BP17" i="31"/>
  <c r="BM17" i="31"/>
  <c r="BL17" i="31"/>
  <c r="BK17" i="31"/>
  <c r="BJ17" i="31"/>
  <c r="BI17" i="31"/>
  <c r="BF17" i="31"/>
  <c r="BE17" i="31"/>
  <c r="BD17" i="31"/>
  <c r="BC17" i="31"/>
  <c r="BB17" i="31"/>
  <c r="AX17" i="31"/>
  <c r="AW17" i="31"/>
  <c r="AV17" i="31"/>
  <c r="AU17" i="31"/>
  <c r="AT17" i="31"/>
  <c r="AQ17" i="31"/>
  <c r="AP17" i="31"/>
  <c r="AO17" i="31"/>
  <c r="AN17" i="31"/>
  <c r="AM17" i="31"/>
  <c r="AK17" i="31"/>
  <c r="AJ17" i="31"/>
  <c r="AI17" i="31"/>
  <c r="AH17" i="31"/>
  <c r="AG17" i="31"/>
  <c r="AD17" i="31"/>
  <c r="AC17" i="31"/>
  <c r="AB17" i="31"/>
  <c r="AA17" i="31"/>
  <c r="Z17" i="31"/>
  <c r="F8" i="16"/>
  <c r="F6" i="16"/>
  <c r="H19" i="12"/>
  <c r="BL19" i="12" s="1"/>
  <c r="G19" i="12"/>
  <c r="F19" i="12"/>
  <c r="E19" i="12"/>
  <c r="D19" i="12"/>
  <c r="C19" i="12"/>
  <c r="B19" i="12"/>
  <c r="A19" i="12"/>
  <c r="BS18" i="12"/>
  <c r="BR18" i="12"/>
  <c r="BQ18" i="12"/>
  <c r="BP18" i="12"/>
  <c r="BO18" i="12"/>
  <c r="BL18" i="12"/>
  <c r="BK18" i="12"/>
  <c r="BJ18" i="12"/>
  <c r="BI18" i="12"/>
  <c r="BH18" i="12"/>
  <c r="BE18" i="12"/>
  <c r="BD18" i="12"/>
  <c r="BC18" i="12"/>
  <c r="BB18" i="12"/>
  <c r="BA18" i="12"/>
  <c r="AW18" i="12"/>
  <c r="AV18" i="12"/>
  <c r="AU18" i="12"/>
  <c r="AT18" i="12"/>
  <c r="AS18" i="12"/>
  <c r="AP18" i="12"/>
  <c r="AO18" i="12"/>
  <c r="AN18" i="12"/>
  <c r="AM18" i="12"/>
  <c r="AL18" i="12"/>
  <c r="AJ18" i="12"/>
  <c r="AI18" i="12"/>
  <c r="AH18" i="12"/>
  <c r="AG18" i="12"/>
  <c r="AF18" i="12"/>
  <c r="AC18" i="12"/>
  <c r="AB18" i="12"/>
  <c r="AA18" i="12"/>
  <c r="Z18" i="12"/>
  <c r="Y18" i="12"/>
  <c r="N18" i="12"/>
  <c r="J18" i="12"/>
  <c r="I18" i="12"/>
  <c r="H18" i="12"/>
  <c r="G18" i="12"/>
  <c r="F18" i="12"/>
  <c r="E18" i="12"/>
  <c r="D18" i="12"/>
  <c r="C18" i="12"/>
  <c r="B18" i="12"/>
  <c r="A18" i="12"/>
  <c r="BS17" i="12"/>
  <c r="BR17" i="12"/>
  <c r="BQ17" i="12"/>
  <c r="BP17" i="12"/>
  <c r="BO17" i="12"/>
  <c r="BL17" i="12"/>
  <c r="BK17" i="12"/>
  <c r="BJ17" i="12"/>
  <c r="BI17" i="12"/>
  <c r="BH17" i="12"/>
  <c r="BE17" i="12"/>
  <c r="BD17" i="12"/>
  <c r="BC17" i="12"/>
  <c r="BB17" i="12"/>
  <c r="BA17" i="12"/>
  <c r="AW17" i="12"/>
  <c r="AV17" i="12"/>
  <c r="AU17" i="12"/>
  <c r="AT17" i="12"/>
  <c r="AS17" i="12"/>
  <c r="AP17" i="12"/>
  <c r="AO17" i="12"/>
  <c r="AN17" i="12"/>
  <c r="AM17" i="12"/>
  <c r="AL17" i="12"/>
  <c r="AJ17" i="12"/>
  <c r="AI17" i="12"/>
  <c r="AH17" i="12"/>
  <c r="AG17" i="12"/>
  <c r="AF17" i="12"/>
  <c r="AC17" i="12"/>
  <c r="AB17" i="12"/>
  <c r="AA17" i="12"/>
  <c r="Z17" i="12"/>
  <c r="Y17" i="12"/>
  <c r="N17" i="12"/>
  <c r="J17" i="12"/>
  <c r="F8" i="12"/>
  <c r="F6" i="12"/>
  <c r="BT19" i="10"/>
  <c r="BS19" i="10"/>
  <c r="BR19" i="10"/>
  <c r="BQ19" i="10"/>
  <c r="BP19" i="10"/>
  <c r="BM19" i="10"/>
  <c r="BL19" i="10"/>
  <c r="BK19" i="10"/>
  <c r="BJ19" i="10"/>
  <c r="BI19" i="10"/>
  <c r="BF19" i="10"/>
  <c r="BE19" i="10"/>
  <c r="BD19" i="10"/>
  <c r="BC19" i="10"/>
  <c r="BB19" i="10"/>
  <c r="AX19" i="10"/>
  <c r="AW19" i="10"/>
  <c r="AV19" i="10"/>
  <c r="AU19" i="10"/>
  <c r="AT19" i="10"/>
  <c r="AQ19" i="10"/>
  <c r="AP19" i="10"/>
  <c r="AO19" i="10"/>
  <c r="AN19" i="10"/>
  <c r="AM19" i="10"/>
  <c r="AK19" i="10"/>
  <c r="AJ19" i="10"/>
  <c r="AI19" i="10"/>
  <c r="AH19" i="10"/>
  <c r="AG19" i="10"/>
  <c r="AD19" i="10"/>
  <c r="AC19" i="10"/>
  <c r="AB19" i="10"/>
  <c r="AA19" i="10"/>
  <c r="Z19" i="10"/>
  <c r="BT17" i="10"/>
  <c r="BS17" i="10"/>
  <c r="BR17" i="10"/>
  <c r="BQ17" i="10"/>
  <c r="BP17" i="10"/>
  <c r="BM17" i="10"/>
  <c r="BL17" i="10"/>
  <c r="BK17" i="10"/>
  <c r="BJ17" i="10"/>
  <c r="BI17" i="10"/>
  <c r="BF17" i="10"/>
  <c r="BE17" i="10"/>
  <c r="BD17" i="10"/>
  <c r="BC17" i="10"/>
  <c r="BB17" i="10"/>
  <c r="AX17" i="10"/>
  <c r="AW17" i="10"/>
  <c r="AV17" i="10"/>
  <c r="AU17" i="10"/>
  <c r="AT17" i="10"/>
  <c r="AQ17" i="10"/>
  <c r="AP17" i="10"/>
  <c r="AO17" i="10"/>
  <c r="AN17" i="10"/>
  <c r="AM17" i="10"/>
  <c r="AK17" i="10"/>
  <c r="AJ17" i="10"/>
  <c r="AI17" i="10"/>
  <c r="I17" i="10"/>
  <c r="H17" i="10"/>
  <c r="G17" i="10"/>
  <c r="F17" i="10"/>
  <c r="E17" i="10"/>
  <c r="C17" i="10"/>
  <c r="F8" i="10"/>
  <c r="F6" i="10"/>
  <c r="BS17" i="9"/>
  <c r="BR17" i="9"/>
  <c r="BQ17" i="9"/>
  <c r="BP17" i="9"/>
  <c r="BO17" i="9"/>
  <c r="BL17" i="9"/>
  <c r="BK17" i="9"/>
  <c r="BJ17" i="9"/>
  <c r="BI17" i="9"/>
  <c r="BH17" i="9"/>
  <c r="BE17" i="9"/>
  <c r="BD17" i="9"/>
  <c r="BC17" i="9"/>
  <c r="BB17" i="9"/>
  <c r="BA17" i="9"/>
  <c r="AW17" i="9"/>
  <c r="AV17" i="9"/>
  <c r="AU17" i="9"/>
  <c r="AT17" i="9"/>
  <c r="AS17" i="9"/>
  <c r="AP17" i="9"/>
  <c r="AO17" i="9"/>
  <c r="AN17" i="9"/>
  <c r="AM17" i="9"/>
  <c r="AL17" i="9"/>
  <c r="AJ17" i="9"/>
  <c r="AI17" i="9"/>
  <c r="AH17" i="9"/>
  <c r="AG17" i="9"/>
  <c r="AF17" i="9"/>
  <c r="AC17" i="9"/>
  <c r="AB17" i="9"/>
  <c r="AA17" i="9"/>
  <c r="Z17" i="9"/>
  <c r="Y17" i="9"/>
  <c r="F8" i="9"/>
  <c r="BR17" i="8"/>
  <c r="BQ17" i="8"/>
  <c r="BP17" i="8"/>
  <c r="BO17" i="8"/>
  <c r="BN17" i="8"/>
  <c r="BK17" i="8"/>
  <c r="BJ17" i="8"/>
  <c r="BI17" i="8"/>
  <c r="BH17" i="8"/>
  <c r="BG17" i="8"/>
  <c r="BD17" i="8"/>
  <c r="BC17" i="8"/>
  <c r="BB17" i="8"/>
  <c r="BA17" i="8"/>
  <c r="AZ17" i="8"/>
  <c r="AV17" i="8"/>
  <c r="AU17" i="8"/>
  <c r="AT17" i="8"/>
  <c r="AS17" i="8"/>
  <c r="AR17" i="8"/>
  <c r="AO17" i="8"/>
  <c r="AN17" i="8"/>
  <c r="AM17" i="8"/>
  <c r="AL17" i="8"/>
  <c r="AK17" i="8"/>
  <c r="AI17" i="8"/>
  <c r="AH17" i="8"/>
  <c r="AG17" i="8"/>
  <c r="AF17" i="8"/>
  <c r="AE17" i="8"/>
  <c r="AB17" i="8"/>
  <c r="AA17" i="8"/>
  <c r="Z17" i="8"/>
  <c r="Y17" i="8"/>
  <c r="X17" i="8"/>
  <c r="F8" i="8"/>
  <c r="F6" i="8"/>
  <c r="BS18" i="13"/>
  <c r="BR18" i="13"/>
  <c r="BQ18" i="13"/>
  <c r="BP18" i="13"/>
  <c r="BO18" i="13"/>
  <c r="BL18" i="13"/>
  <c r="BK18" i="13"/>
  <c r="BJ18" i="13"/>
  <c r="BI18" i="13"/>
  <c r="BH18" i="13"/>
  <c r="BE18" i="13"/>
  <c r="BD18" i="13"/>
  <c r="BC18" i="13"/>
  <c r="BB18" i="13"/>
  <c r="BA18" i="13"/>
  <c r="AW18" i="13"/>
  <c r="AV18" i="13"/>
  <c r="AU18" i="13"/>
  <c r="AT18" i="13"/>
  <c r="AS18" i="13"/>
  <c r="AP18" i="13"/>
  <c r="AO18" i="13"/>
  <c r="AN18" i="13"/>
  <c r="AM18" i="13"/>
  <c r="AL18" i="13"/>
  <c r="AJ18" i="13"/>
  <c r="AI18" i="13"/>
  <c r="AH18" i="13"/>
  <c r="AG18" i="13"/>
  <c r="AF18" i="13"/>
  <c r="AC18" i="13"/>
  <c r="AB18" i="13"/>
  <c r="BS17" i="13"/>
  <c r="BR17" i="13"/>
  <c r="BQ17" i="13"/>
  <c r="BP17" i="13"/>
  <c r="BO17" i="13"/>
  <c r="BL17" i="13"/>
  <c r="BK17" i="13"/>
  <c r="BJ17" i="13"/>
  <c r="BI17" i="13"/>
  <c r="BH17" i="13"/>
  <c r="BE17" i="13"/>
  <c r="BD17" i="13"/>
  <c r="BC17" i="13"/>
  <c r="BB17" i="13"/>
  <c r="BA17" i="13"/>
  <c r="AW17" i="13"/>
  <c r="AV17" i="13"/>
  <c r="AU17" i="13"/>
  <c r="AT17" i="13"/>
  <c r="AS17" i="13"/>
  <c r="AP17" i="13"/>
  <c r="AO17" i="13"/>
  <c r="AN17" i="13"/>
  <c r="AM17" i="13"/>
  <c r="AL17" i="13"/>
  <c r="AJ17" i="13"/>
  <c r="AI17" i="13"/>
  <c r="AH17" i="13"/>
  <c r="AG17" i="13"/>
  <c r="AF17" i="13"/>
  <c r="AC17" i="13"/>
  <c r="AB17" i="13"/>
  <c r="AA17" i="13"/>
  <c r="Z17" i="13"/>
  <c r="Y17" i="13"/>
  <c r="F8" i="13"/>
  <c r="F6" i="13"/>
  <c r="BS17" i="15"/>
  <c r="BR17" i="15"/>
  <c r="BQ17" i="15"/>
  <c r="BP17" i="15"/>
  <c r="BO17" i="15"/>
  <c r="BL17" i="15"/>
  <c r="BK17" i="15"/>
  <c r="BJ17" i="15"/>
  <c r="BI17" i="15"/>
  <c r="BH17" i="15"/>
  <c r="BE17" i="15"/>
  <c r="BD17" i="15"/>
  <c r="BC17" i="15"/>
  <c r="BB17" i="15"/>
  <c r="BA17" i="15"/>
  <c r="AW17" i="15"/>
  <c r="AV17" i="15"/>
  <c r="AU17" i="15"/>
  <c r="AT17" i="15"/>
  <c r="AS17" i="15"/>
  <c r="AP17" i="15"/>
  <c r="AO17" i="15"/>
  <c r="AN17" i="15"/>
  <c r="AM17" i="15"/>
  <c r="AL17" i="15"/>
  <c r="AJ17" i="15"/>
  <c r="AI17" i="15"/>
  <c r="AH17" i="15"/>
  <c r="AG17" i="15"/>
  <c r="AF17" i="15"/>
  <c r="AC17" i="15"/>
  <c r="AB17" i="15"/>
  <c r="AA17" i="15"/>
  <c r="Z17" i="15"/>
  <c r="Y17" i="15"/>
  <c r="I17" i="15"/>
  <c r="H17" i="15"/>
  <c r="G17" i="15"/>
  <c r="F17" i="15"/>
  <c r="E17" i="15"/>
  <c r="D17" i="15"/>
  <c r="C17" i="15"/>
  <c r="B17" i="15"/>
  <c r="A17" i="15"/>
  <c r="F8" i="15"/>
  <c r="F6" i="15"/>
  <c r="R18" i="5"/>
  <c r="Q18" i="5"/>
  <c r="P18" i="5"/>
  <c r="K18" i="5"/>
  <c r="I18" i="5"/>
  <c r="H18" i="5"/>
  <c r="G18" i="5"/>
  <c r="E18" i="5"/>
  <c r="D18" i="5"/>
  <c r="C18" i="5"/>
  <c r="B18" i="5"/>
  <c r="A18" i="5"/>
  <c r="R17" i="5"/>
  <c r="Q17" i="5"/>
  <c r="P17" i="5"/>
  <c r="K17" i="5"/>
  <c r="I17" i="5"/>
  <c r="H17" i="5"/>
  <c r="G17" i="5"/>
  <c r="E17" i="5"/>
  <c r="D17" i="5"/>
  <c r="C17" i="5"/>
  <c r="B17" i="5"/>
  <c r="F8" i="5"/>
  <c r="F6" i="5"/>
  <c r="BT17" i="24"/>
  <c r="BS17" i="24"/>
  <c r="BR17" i="24"/>
  <c r="BQ17" i="24"/>
  <c r="BP17" i="24"/>
  <c r="BM17" i="24"/>
  <c r="BL17" i="24"/>
  <c r="BK17" i="24"/>
  <c r="BJ17" i="24"/>
  <c r="BI17" i="24"/>
  <c r="BF17" i="24"/>
  <c r="BE17" i="24"/>
  <c r="BD17" i="24"/>
  <c r="BC17" i="24"/>
  <c r="BB17" i="24"/>
  <c r="AX17" i="24"/>
  <c r="AW17" i="24"/>
  <c r="AV17" i="24"/>
  <c r="AU17" i="24"/>
  <c r="AT17" i="24"/>
  <c r="AQ17" i="24"/>
  <c r="AP17" i="24"/>
  <c r="AO17" i="24"/>
  <c r="AN17" i="24"/>
  <c r="AM17" i="24"/>
  <c r="AK17" i="24"/>
  <c r="AJ17" i="24"/>
  <c r="AI17" i="24"/>
  <c r="AH17" i="24"/>
  <c r="AG17" i="24"/>
  <c r="AD17" i="24"/>
  <c r="AC17" i="24"/>
  <c r="AB17" i="24"/>
  <c r="AA17" i="24"/>
  <c r="Z17" i="24"/>
  <c r="I17" i="24"/>
  <c r="F17" i="24"/>
  <c r="E17" i="24"/>
  <c r="D17" i="24"/>
  <c r="C17" i="24"/>
  <c r="B17" i="24"/>
  <c r="A17" i="24"/>
  <c r="F8" i="24"/>
  <c r="F6" i="24"/>
  <c r="F8" i="7"/>
  <c r="F6" i="7"/>
  <c r="F8" i="32"/>
  <c r="BS19" i="30"/>
  <c r="BR19" i="30"/>
  <c r="BQ19" i="30"/>
  <c r="BP19" i="30"/>
  <c r="BO19" i="30"/>
  <c r="BL19" i="30"/>
  <c r="BK19" i="30"/>
  <c r="BJ19" i="30"/>
  <c r="BI19" i="30"/>
  <c r="BH19" i="30"/>
  <c r="BE19" i="30"/>
  <c r="BD19" i="30"/>
  <c r="BC19" i="30"/>
  <c r="BB19" i="30"/>
  <c r="BA19" i="30"/>
  <c r="AW19" i="30"/>
  <c r="AV19" i="30"/>
  <c r="AU19" i="30"/>
  <c r="AT19" i="30"/>
  <c r="AS19" i="30"/>
  <c r="AP19" i="30"/>
  <c r="AO19" i="30"/>
  <c r="AN19" i="30"/>
  <c r="AM19" i="30"/>
  <c r="AL19" i="30"/>
  <c r="AJ19" i="30"/>
  <c r="AI19" i="30"/>
  <c r="AH19" i="30"/>
  <c r="AG19" i="30"/>
  <c r="AF19" i="30"/>
  <c r="AC19" i="30"/>
  <c r="AB19" i="30"/>
  <c r="AA19" i="30"/>
  <c r="Z19" i="30"/>
  <c r="Y19" i="30"/>
  <c r="BS18" i="30"/>
  <c r="BR18" i="30"/>
  <c r="BQ18" i="30"/>
  <c r="BP18" i="30"/>
  <c r="BO18" i="30"/>
  <c r="BL18" i="30"/>
  <c r="BK18" i="30"/>
  <c r="BJ18" i="30"/>
  <c r="BI18" i="30"/>
  <c r="BH18" i="30"/>
  <c r="BE18" i="30"/>
  <c r="BD18" i="30"/>
  <c r="BC18" i="30"/>
  <c r="BB18" i="30"/>
  <c r="BA18" i="30"/>
  <c r="AW18" i="30"/>
  <c r="AV18" i="30"/>
  <c r="AU18" i="30"/>
  <c r="AT18" i="30"/>
  <c r="AS18" i="30"/>
  <c r="AP18" i="30"/>
  <c r="AO18" i="30"/>
  <c r="AN18" i="30"/>
  <c r="AM18" i="30"/>
  <c r="AL18" i="30"/>
  <c r="AJ18" i="30"/>
  <c r="AI18" i="30"/>
  <c r="AH18" i="30"/>
  <c r="AG18" i="30"/>
  <c r="AF18" i="30"/>
  <c r="AC18" i="30"/>
  <c r="AB18" i="30"/>
  <c r="AA18" i="30"/>
  <c r="Z18" i="30"/>
  <c r="Y18" i="30"/>
  <c r="BS17" i="30"/>
  <c r="BR17" i="30"/>
  <c r="BQ17" i="30"/>
  <c r="BP17" i="30"/>
  <c r="BO17" i="30"/>
  <c r="BL17" i="30"/>
  <c r="BK17" i="30"/>
  <c r="BJ17" i="30"/>
  <c r="BI17" i="30"/>
  <c r="BH17" i="30"/>
  <c r="BE17" i="30"/>
  <c r="BD17" i="30"/>
  <c r="BC17" i="30"/>
  <c r="BB17" i="30"/>
  <c r="BA17" i="30"/>
  <c r="AW17" i="30"/>
  <c r="AV17" i="30"/>
  <c r="AU17" i="30"/>
  <c r="AT17" i="30"/>
  <c r="AS17" i="30"/>
  <c r="AP17" i="30"/>
  <c r="AO17" i="30"/>
  <c r="AN17" i="30"/>
  <c r="AM17" i="30"/>
  <c r="AL17" i="30"/>
  <c r="AJ17" i="30"/>
  <c r="AI17" i="30"/>
  <c r="AH17" i="30"/>
  <c r="AG17" i="30"/>
  <c r="AF17" i="30"/>
  <c r="AC17" i="30"/>
  <c r="AB17" i="30"/>
  <c r="AA17" i="30"/>
  <c r="Z17" i="30"/>
  <c r="Y17" i="30"/>
  <c r="F8" i="30"/>
  <c r="F8" i="18"/>
  <c r="F6" i="18"/>
  <c r="BT18" i="17"/>
  <c r="BS18" i="17"/>
  <c r="BR18" i="17"/>
  <c r="BQ18" i="17"/>
  <c r="BP18" i="17"/>
  <c r="BM18" i="17"/>
  <c r="BL18" i="17"/>
  <c r="BK18" i="17"/>
  <c r="BJ18" i="17"/>
  <c r="BI18" i="17"/>
  <c r="BF18" i="17"/>
  <c r="BE18" i="17"/>
  <c r="BD18" i="17"/>
  <c r="BC18" i="17"/>
  <c r="BB18" i="17"/>
  <c r="AX18" i="17"/>
  <c r="AW18" i="17"/>
  <c r="AV18" i="17"/>
  <c r="AU18" i="17"/>
  <c r="AT18" i="17"/>
  <c r="AQ18" i="17"/>
  <c r="AP18" i="17"/>
  <c r="AO18" i="17"/>
  <c r="AN18" i="17"/>
  <c r="AM18" i="17"/>
  <c r="AK18" i="17"/>
  <c r="AJ18" i="17"/>
  <c r="AI18" i="17"/>
  <c r="AH18" i="17"/>
  <c r="AG18" i="17"/>
  <c r="AD18" i="17"/>
  <c r="AC18" i="17"/>
  <c r="AB18" i="17"/>
  <c r="AA18" i="17"/>
  <c r="Z18" i="17"/>
  <c r="BT17" i="17"/>
  <c r="BS17" i="17"/>
  <c r="BR17" i="17"/>
  <c r="BQ17" i="17"/>
  <c r="BP17" i="17"/>
  <c r="BM17" i="17"/>
  <c r="BL17" i="17"/>
  <c r="BK17" i="17"/>
  <c r="BJ17" i="17"/>
  <c r="BI17" i="17"/>
  <c r="BF17" i="17"/>
  <c r="BE17" i="17"/>
  <c r="BD17" i="17"/>
  <c r="BC17" i="17"/>
  <c r="BB17" i="17"/>
  <c r="AX17" i="17"/>
  <c r="AW17" i="17"/>
  <c r="AV17" i="17"/>
  <c r="AU17" i="17"/>
  <c r="AT17" i="17"/>
  <c r="AQ17" i="17"/>
  <c r="AP17" i="17"/>
  <c r="AO17" i="17"/>
  <c r="AN17" i="17"/>
  <c r="AM17" i="17"/>
  <c r="AK17" i="17"/>
  <c r="AJ17" i="17"/>
  <c r="AI17" i="17"/>
  <c r="AH17" i="17"/>
  <c r="AG17" i="17"/>
  <c r="AD17" i="17"/>
  <c r="AC17" i="17"/>
  <c r="AB17" i="17"/>
  <c r="AA17" i="17"/>
  <c r="Z17" i="17"/>
  <c r="F8" i="17"/>
  <c r="F6" i="17"/>
  <c r="BS17" i="20"/>
  <c r="BR17" i="20"/>
  <c r="BQ17" i="20"/>
  <c r="BP17" i="20"/>
  <c r="BO17" i="20"/>
  <c r="BL17" i="20"/>
  <c r="BK17" i="20"/>
  <c r="BJ17" i="20"/>
  <c r="BI17" i="20"/>
  <c r="BH17" i="20"/>
  <c r="BE17" i="20"/>
  <c r="BD17" i="20"/>
  <c r="BC17" i="20"/>
  <c r="BB17" i="20"/>
  <c r="BA17" i="20"/>
  <c r="AW17" i="20"/>
  <c r="AV17" i="20"/>
  <c r="AU17" i="20"/>
  <c r="AT17" i="20"/>
  <c r="AS17" i="20"/>
  <c r="AP17" i="20"/>
  <c r="AO17" i="20"/>
  <c r="AN17" i="20"/>
  <c r="AM17" i="20"/>
  <c r="AL17" i="20"/>
  <c r="AJ17" i="20"/>
  <c r="AI17" i="20"/>
  <c r="AH17" i="20"/>
  <c r="AG17" i="20"/>
  <c r="AF17" i="20"/>
  <c r="AC17" i="20"/>
  <c r="AB17" i="20"/>
  <c r="AA17" i="20"/>
  <c r="Z17" i="20"/>
  <c r="Y17" i="20"/>
  <c r="I17" i="20"/>
  <c r="H17" i="20"/>
  <c r="G17" i="20"/>
  <c r="F17" i="20"/>
  <c r="E17" i="20"/>
  <c r="D17" i="20"/>
  <c r="C17" i="20"/>
  <c r="B17" i="20"/>
  <c r="A17" i="20"/>
  <c r="F8" i="20"/>
  <c r="F6" i="20"/>
  <c r="BT17" i="21"/>
  <c r="BS17" i="21"/>
  <c r="BR17" i="21"/>
  <c r="BQ17" i="21"/>
  <c r="BP17" i="21"/>
  <c r="BM17" i="21"/>
  <c r="BL17" i="21"/>
  <c r="BK17" i="21"/>
  <c r="BJ17" i="21"/>
  <c r="BI17" i="21"/>
  <c r="BF17" i="21"/>
  <c r="BE17" i="21"/>
  <c r="BD17" i="21"/>
  <c r="BC17" i="21"/>
  <c r="BB17" i="21"/>
  <c r="AX17" i="21"/>
  <c r="AW17" i="21"/>
  <c r="AV17" i="21"/>
  <c r="AU17" i="21"/>
  <c r="AT17" i="21"/>
  <c r="AQ17" i="21"/>
  <c r="AP17" i="21"/>
  <c r="AO17" i="21"/>
  <c r="AN17" i="21"/>
  <c r="AM17" i="21"/>
  <c r="AK17" i="21"/>
  <c r="AJ17" i="21"/>
  <c r="AI17" i="21"/>
  <c r="AH17" i="21"/>
  <c r="AG17" i="21"/>
  <c r="AD17" i="21"/>
  <c r="AC17" i="21"/>
  <c r="AB17" i="21"/>
  <c r="AA17" i="21"/>
  <c r="Z17" i="21"/>
  <c r="J17" i="21"/>
  <c r="B17" i="21"/>
  <c r="A17" i="21"/>
  <c r="F8" i="21"/>
  <c r="F6" i="21"/>
  <c r="AC19" i="12" l="1"/>
  <c r="AT19" i="12"/>
  <c r="BK19" i="12"/>
  <c r="BS19" i="12"/>
  <c r="Y19" i="12"/>
  <c r="AN19" i="12"/>
  <c r="BE19" i="12"/>
  <c r="Z19" i="12"/>
  <c r="AO19" i="12"/>
  <c r="BH19" i="12"/>
  <c r="AA19" i="12"/>
  <c r="AI19" i="12"/>
  <c r="AP19" i="12"/>
  <c r="BA19" i="12"/>
  <c r="BI19" i="12"/>
  <c r="BQ19" i="12"/>
  <c r="I19" i="12"/>
  <c r="AG19" i="12"/>
  <c r="AV19" i="12"/>
  <c r="BO19" i="12"/>
  <c r="AH19" i="12"/>
  <c r="AW19" i="12"/>
  <c r="BP19" i="12"/>
  <c r="AB19" i="12"/>
  <c r="AJ19" i="12"/>
  <c r="AS19" i="12"/>
  <c r="BB19" i="12"/>
  <c r="BJ19" i="12"/>
  <c r="BR19" i="12"/>
  <c r="AL19" i="12"/>
  <c r="BC19" i="12"/>
  <c r="AF19" i="12"/>
  <c r="AM19" i="12"/>
  <c r="AU19" i="12"/>
  <c r="BD19" i="12"/>
</calcChain>
</file>

<file path=xl/sharedStrings.xml><?xml version="1.0" encoding="utf-8"?>
<sst xmlns="http://schemas.openxmlformats.org/spreadsheetml/2006/main" count="1632" uniqueCount="302">
  <si>
    <t>MAPA DE RIESGOS</t>
  </si>
  <si>
    <t>Pagina: 1 de 1</t>
  </si>
  <si>
    <t>PROCESO:</t>
  </si>
  <si>
    <t xml:space="preserve">OBJETIVO </t>
  </si>
  <si>
    <t>RESPONSABLE</t>
  </si>
  <si>
    <t>FECHA DE ACTUALIZACIÒN:</t>
  </si>
  <si>
    <t>Prob</t>
  </si>
  <si>
    <t>Imp</t>
  </si>
  <si>
    <t>probabilidad</t>
  </si>
  <si>
    <t>IMPACTO</t>
  </si>
  <si>
    <t>IDENTIFICACIÓN DEL RIESGO</t>
  </si>
  <si>
    <t>ANÁLISIS DEL RIESGO</t>
  </si>
  <si>
    <t xml:space="preserve">CONTROLES </t>
  </si>
  <si>
    <t>VALORACIÓN DEL RIESGO</t>
  </si>
  <si>
    <t>TRATAMIENTO</t>
  </si>
  <si>
    <t>MONITOREO Y REVISIÓN</t>
  </si>
  <si>
    <t>CAUSA</t>
  </si>
  <si>
    <t>RIESGO</t>
  </si>
  <si>
    <t>CONSECUENCIA</t>
  </si>
  <si>
    <t>RIESGO INHERENTE</t>
  </si>
  <si>
    <t>RIESGO RESIDUAL</t>
  </si>
  <si>
    <t>ACCIONES ASOCIADAS AL CONTROL</t>
  </si>
  <si>
    <t>FECHA</t>
  </si>
  <si>
    <t>ACCIONES</t>
  </si>
  <si>
    <t>INDICADOR</t>
  </si>
  <si>
    <t>PROBABILIDAD</t>
  </si>
  <si>
    <t>ZONA DE RIESGO</t>
  </si>
  <si>
    <t>PERIODO DE EJECUCIÓN</t>
  </si>
  <si>
    <t>REGISTRO</t>
  </si>
  <si>
    <t>Mensual</t>
  </si>
  <si>
    <t>&gt;75</t>
  </si>
  <si>
    <t>&gt;50 &lt;76</t>
  </si>
  <si>
    <t>&lt;50</t>
  </si>
  <si>
    <t>* FUENTE: GUIA DE PARA LA ADMINISTRACION DEL RIESGO DEL DAFP 4 EDICION SEPTIEMBRE DE 2011</t>
  </si>
  <si>
    <t>MODERADO (5)</t>
  </si>
  <si>
    <t>MAYOR (10)</t>
  </si>
  <si>
    <t>CATASTRÓFICO (20)</t>
  </si>
  <si>
    <t>* FUENTE GUÍA PARA LA GESTIÓN DEL RIESGO DE CORRUPCIÓN 2015 Secretaría de Transparencia de la Presidencia de la República</t>
  </si>
  <si>
    <t xml:space="preserve"> RARA VEZ (1)</t>
  </si>
  <si>
    <t>B</t>
  </si>
  <si>
    <t>M</t>
  </si>
  <si>
    <t>IMPROBABLE (2)</t>
  </si>
  <si>
    <t>A</t>
  </si>
  <si>
    <t>POSIBLE (3)</t>
  </si>
  <si>
    <t>E</t>
  </si>
  <si>
    <t>PROBABLE (4)</t>
  </si>
  <si>
    <t>CASI SEGURO (5)</t>
  </si>
  <si>
    <t>B: Zona de riesgo baja: Asumir el riesgo</t>
  </si>
  <si>
    <t>M: Zona de riesgo moderada: Asumir el riesgo, reducir el riesgo</t>
  </si>
  <si>
    <t>A: Zona de riesgo Alta: Reducir el riesgo, evitar, compartir o transferir</t>
  </si>
  <si>
    <t>E: Zona de riesgo extrema: Reducir el riesgo, evitar, compartir o transferir</t>
  </si>
  <si>
    <t>Jefe Oficina Asesora Jurídica</t>
  </si>
  <si>
    <t xml:space="preserve"> Jefe de Oficina de Informática</t>
  </si>
  <si>
    <t>TRIMESTRAL</t>
  </si>
  <si>
    <t>Coordinadora Grupo de Administración y Desarrollo del Talento Humano.</t>
  </si>
  <si>
    <t>Coordinadora Grupo Control Disciplinario Interno</t>
  </si>
  <si>
    <t>Coordinador Grupo de Atención al ciudadano</t>
  </si>
  <si>
    <t>Informacion  aplicativo SIIF Nacion 
Informacion  Presupuestal actualizada bases de datos .</t>
  </si>
  <si>
    <t xml:space="preserve">Mensual </t>
  </si>
  <si>
    <t xml:space="preserve">Informes de Ejecucion  presupuestal. </t>
  </si>
  <si>
    <t>Jefe Oficina de Control Interno</t>
  </si>
  <si>
    <t>Subdirectores</t>
  </si>
  <si>
    <t xml:space="preserve">Durante la vigencia </t>
  </si>
  <si>
    <t>Durante la vigencia</t>
  </si>
  <si>
    <t>Jefe de la Oficina Asesora de Planeación</t>
  </si>
  <si>
    <t xml:space="preserve">Monitoreo de las redes sociales.
                                                                      Cambio periodico de claves.                                                          
Politica de Comunicaciones del IDEAM.
Monitoreo de medios de comunicación. </t>
  </si>
  <si>
    <t xml:space="preserve">Monitorear diariamente el Twitter y el Facebook de la Entidad, interactuando con los usuarios, con el fin de fortalecer los canales de comunicación directos. 
Seguimiento a los reportes oficiales de las noticias del IDEAM que fueron emitidas en todo el País, a través de diferentes canales de comunicación como radio, prensa, televisión, redes sociales y Web.
Cambio mensual de las claves de acceso a los diferentes canales de comunicación del Instituto. 
Gestionar y realizar capacitaciones de anticorrupción enfocadas en la etica y el debido direccionamiento de la informacion noticiosa y tecnicocientifica que emite el Instituto.  </t>
  </si>
  <si>
    <t>Gestión de Servicios Administrativos</t>
  </si>
  <si>
    <t>Coordinador del Grupo Servicios Administrativos</t>
  </si>
  <si>
    <t xml:space="preserve"> </t>
  </si>
  <si>
    <t>DESCRIPCION</t>
  </si>
  <si>
    <t>TIPO DE RIESGO</t>
  </si>
  <si>
    <t>TIPO DE CONTROL</t>
  </si>
  <si>
    <t>CONTROLES</t>
  </si>
  <si>
    <t>OPCIONES DE MANEJO</t>
  </si>
  <si>
    <t>TIPÒ DE CONTROL</t>
  </si>
  <si>
    <t>Posible</t>
  </si>
  <si>
    <t>Mayor</t>
  </si>
  <si>
    <t>REDUCIR</t>
  </si>
  <si>
    <t>Probable</t>
  </si>
  <si>
    <t>Moderado</t>
  </si>
  <si>
    <t>RIESGO DE CORRUPCIÓN</t>
  </si>
  <si>
    <t>MENSUAL</t>
  </si>
  <si>
    <t>Rara Vez</t>
  </si>
  <si>
    <t>Catastrófico</t>
  </si>
  <si>
    <t>ASUMIR</t>
  </si>
  <si>
    <t>Capacitaciones, 
Seguimiento  tiempos de respuesta, monitoreo, evaluación  a los procedimientos y controles del grupo</t>
  </si>
  <si>
    <t>1. Lista de asistencia, fotografías, material utilizado. 
2. Correos electrónicos y Formato seguimiento presencial.
3. Actas reuniones grupo A.C.</t>
  </si>
  <si>
    <t>Improbable</t>
  </si>
  <si>
    <t>Asumir</t>
  </si>
  <si>
    <t>1. Validar la información de las solicitudes de Certificados de Disponibilidad Presupuestal y compromisos adquiridos por el IDEAM de carácter contractual con el Seguimiento Contractual, la ejecución presupuestal y soportes, previo a su generación en el aplicativo SIIF Nación.
2. Verificar que la información registrada en el aplicativo SIIF Nación que ampara la contratación del Instituto esté acorde con la documentación soporte allegada.</t>
  </si>
  <si>
    <t>Desconocer las características intrínsecas del bien y/o servicio que se desea contratar además de la falta de control asociado al proceso de contratación.</t>
  </si>
  <si>
    <t>Direccionar los procesos hacia
un grupo en particular</t>
  </si>
  <si>
    <t>Realizar actuaciones contrarias a la ley</t>
  </si>
  <si>
    <t>*Investigaciones disciplinarias *Investigaciones penales</t>
  </si>
  <si>
    <t>Contratación de personal idóneo y responsable para adelantar la contratación</t>
  </si>
  <si>
    <t>Reducir</t>
  </si>
  <si>
    <t>Durante La Vigencia</t>
  </si>
  <si>
    <t>Comunicaciones escritas (sistema Orfeo y Zimbra)</t>
  </si>
  <si>
    <t>Presiones indebidas sobre funcionarios del Instituto por parte de firmas interesadas en los futuros procesos de contratación de la Entidad.
asignacion y entrega de dadivas y sobornos</t>
  </si>
  <si>
    <t>Beneficio a terceros para sumnistro de bienes y servicios del IDEAM</t>
  </si>
  <si>
    <t>Elaborar estudios previos para la contratación del suministro de materiales, equipos, elementos o servicios que requiera la Entidad,direccionado en beneficio de un tercero  en particular.</t>
  </si>
  <si>
    <t>*Mala percepcion del IDEAM ante la opinion publica.
*Acciones legales disciplinarias, penales y fiscales por parte de los entes de control</t>
  </si>
  <si>
    <t xml:space="preserve">Formatos y procedimientos establecidos por la oficina asesora jurídica
Lista de chequeo requisitos para radicación de estudios previos oficina asesora jurídica
</t>
  </si>
  <si>
    <t>Coordinar con La Oficina Asesora Jurídica la actualización en temas jurídicos y precontractuales</t>
  </si>
  <si>
    <t>Incosistencias en los documentos soportes (facturas y recibos) para legalizar pagos por caja menor</t>
  </si>
  <si>
    <t>manejo indebido de caja menor del IDEAM</t>
  </si>
  <si>
    <t>asignacion de dinero para compras de bienes y servicios para casos fortuitos y extraordinarios</t>
  </si>
  <si>
    <t>*Peculado y detrimento patrimonial 
*Acciones disciplinarias por parte de los entes de control</t>
  </si>
  <si>
    <t xml:space="preserve">Control de gastos en el aplicativo SIIF 
Control en la plataforma bancaria
</t>
  </si>
  <si>
    <t>Trimestral</t>
  </si>
  <si>
    <t>Realizar el arqueo de la caja menor periódicamente</t>
  </si>
  <si>
    <t xml:space="preserve">Elaboración de actas e informes del arqueo de la caja menor
Comunicaciones escritas (sistema Orfeo y Zimbra) 
Relación de extractos bancarios 
Reportes expedidos por la plataforma SIIF del Ministerio de Hacienda
</t>
  </si>
  <si>
    <t>Certificación fraudulenta de ingresos al instituto.</t>
  </si>
  <si>
    <t>Certificación fraudulenta de ingresos al instituto incumpliendo con las especificaciones por parte del proveedor.</t>
  </si>
  <si>
    <t>*Detrimento patrimonial.
*Sanciones disciplinarias por parte de los entes de control.</t>
  </si>
  <si>
    <t>*Formato constancia de verificación documental.
*Aplcativo Sicapital</t>
  </si>
  <si>
    <t>Revisión trimestral de los documentos soportes ingreso Almacén.</t>
  </si>
  <si>
    <t>*Formato constancia de verificación documental.
*Aplcativo Sicapital Diligenciado</t>
  </si>
  <si>
    <t>*Formato autorización de salida de elementos.
*Aplcativo Sicapital</t>
  </si>
  <si>
    <t>Revisión mensual del formato establecido a la empresa de vigilancia por parte del Grupo de Recursos Físicos sede Fontibón y Grupo de Inventarios y Almacén sede 42</t>
  </si>
  <si>
    <t>Documento Diligenciado</t>
  </si>
  <si>
    <t>Gestión del Proceso - Capacitaciones y Directrices Realizadas - Sanciones</t>
  </si>
  <si>
    <t>* Deficiencias en la revisión preliminar del trámite.
* Asignación de tareas jurídicas al equipo técnico.
* Ausencia de políticas sobre las que se tomen decisiones sobre el trámite</t>
  </si>
  <si>
    <t>Respuestas en contravención con normatividad vigente, el proceso o conceptos científicos</t>
  </si>
  <si>
    <t>Respuesta a usuarios, actos administrativos o acciones que se desvíen de lo dispuesto en la normatividad vigente, que no sean coherentes con los antecedentes del proceso o vayan en detrimento de los conceptos científicos vigentes.</t>
  </si>
  <si>
    <t>Recursos de reposición interpuestos ante los actos administrativos favorables para el usuario, acciones legales en contra del IDEAM, detrimento de la imagen del Instituto, decisiones no coherentes con el proceso o la legislación vigente.</t>
  </si>
  <si>
    <t xml:space="preserve">* Falta de estímulos profesionales y meritorios al interior del grupo de trabajo.
* Problemas económicos financieros de los miembros del grupo de acreditación.
* Deseo de éxito sobrepasando los límites profesionales y éticos. </t>
  </si>
  <si>
    <t>Decisiones ajustadas a intereses particulares</t>
  </si>
  <si>
    <t>Este riesgo hace referencia a aquellas decisiones que se tomen con fundamento en un interés particular.</t>
  </si>
  <si>
    <t xml:space="preserve">Acciones judiciales contra el instituto.
Detrimento de la imagen institucional.
Procesos disciplinarios, penales, administrativos y fiscales en contra de los servidores públicos del Instituto.
</t>
  </si>
  <si>
    <t xml:space="preserve">* Registro activo de conflico de intereses, más el registro de compromiso de confidencialidad, imparcialidad e independencia de todo el grupo.
* Confirmación de impedimentos previo a la visita in situ.
</t>
  </si>
  <si>
    <t>Omisión, intereses mutuo o recibimiento de dádivas.</t>
  </si>
  <si>
    <t xml:space="preserve">Desviación de recursos girados en beneficio a terceros. </t>
  </si>
  <si>
    <t>Ordenar, efectuar o desviar pagos que por omisión o beneficios a terceros se presenten en la sede central y áreas operativas.</t>
  </si>
  <si>
    <t>Procesos disciplinarias, penales o fiscales. Detrimento patrimonial.</t>
  </si>
  <si>
    <t>1. PROCEDIMIENTOS:A-GF-I003 Instructivo Giro y Pago de Cheques, A-GF-P005 Procedimiento Gestión de Pagos.      2.FORMATOS: A-GF-F011 Formato de Novedades Cuentas Bancarias. 3.  SOFTWARE:  SIIF NACION II, ORFEO, GESTION SEGURIDAD ELECTRONICA (Token-firma digital) y CERTICAMARA (Token-firma digital).</t>
  </si>
  <si>
    <t>Ejecución mensual durante el año.</t>
  </si>
  <si>
    <t>1- Fortalecer los controles establecidos para la revisión de  los pagos, con el fin de  establecer obligaciones, según lo establecido en el  Procedimiento de Gestión de Pagos. 2. Solicitar a las áreas operativas el envío de los soportes de  los pagos que realicen con los recursos girados  desde la sede central.</t>
  </si>
  <si>
    <t>Desconocimiento de la normativa vigente.
Sobrecarga laboral.</t>
  </si>
  <si>
    <t>Inoportunidad en los pagos</t>
  </si>
  <si>
    <t>Demora en el trámite de las obligaciones que son allegadas a la dependencia para pago.</t>
  </si>
  <si>
    <t>Sanciones disciplinarias, fiscales y penales por incumplimiento de los pagos en los términos establecidos por parte del Instituto.</t>
  </si>
  <si>
    <t>1. PROCEDIMIENTOS:A-GF-I003 Instructivo Giro y Pago de Cheques, A-GF-P005 Procedimiento Gestión de Pagos.      2.FORMATOS:  A-GF-P011 Procedimiento Solicitud y Legalización Comisiones, . 3.  SOFTWARE:  SIIF NACION II, ORFEO</t>
  </si>
  <si>
    <t>1- Fortalecer los controles establecidos para la revisión de  los pagos, con el fin de  establecer obligaciones y fechas limite de pagos.</t>
  </si>
  <si>
    <t>Indicadores de gestión</t>
  </si>
  <si>
    <t xml:space="preserve">E-PI-P001 Procedimiento PAA
ORFEOS
Seguimiento a la ejecución PAA </t>
  </si>
  <si>
    <t>1. Seguimiento a la ejecución actividades PAA
2.Seguimiento indicadores PAA</t>
  </si>
  <si>
    <t>Seguimiento PAA
Seguimiento indicadores PAA</t>
  </si>
  <si>
    <t>Version:05</t>
  </si>
  <si>
    <t>Fecha: 02/05/2017</t>
  </si>
  <si>
    <t>V</t>
  </si>
  <si>
    <t xml:space="preserve">Coordinador del Grupo de Presupuesto </t>
  </si>
  <si>
    <t xml:space="preserve">Formato Análisis Hoja de Vida A-GH-F012 y verificar cumplimiento de requisitos del cargo.
</t>
  </si>
  <si>
    <t>COORDINADOR  GRUPO DE TESORERIA</t>
  </si>
  <si>
    <t>1- Se reflejaría el registro mediante: a- Cuadro en excel de los registro de proveedores y contratistas para control de pagos, impuestos y terceros en la sede central y áreas operativas.  2. Facturas y/o recibos de pago debidamente cancelados con sus debidos soportes.</t>
  </si>
  <si>
    <t>Fecha:02/05/2017</t>
  </si>
  <si>
    <t>*Deficiente definición de políticas de uso de las TI.
* No realizar actualzaciones a la política de seguridad y Privacidad de la información.
*Deficiencias en el desarrollo o adquisición de TI.
*Inadecuado acceso de los usuarios a las herramientas informáticas. 
*Falta de una infraestructura tecnológica adecuada</t>
  </si>
  <si>
    <t>Pérdida de integridad, disponibilidad y uso inadecuado o indebido de la información.</t>
  </si>
  <si>
    <t>Que la información no cumpla con los requisitos de calidad  y seguridad
*Que la politica de seguridad no esta alineada con las necesidades y los requisitos del Instituto en materia de seguridad de la información.</t>
  </si>
  <si>
    <t>*Falta de credibilidad y confianza en cuanto al apoyo del área. 
*Perdida de imagen y credibilidad del Instituto.
* Materializacion de riesgos asociados seguridad de la información</t>
  </si>
  <si>
    <t xml:space="preserve">* Auditoría a las políticas de seguridad y privacidad de la información
* Gestión de incidentes de seguridad.
</t>
  </si>
  <si>
    <t>Formato A-CID-F006 Seguimiento y Control a Oficios y/o Memorandos Memorando de declaratoria de impedimento (Orfeo); Auto o Resolución aceptando o negando el impedimento por parte de la Primera Instancia Disciplinaria ó del Director General, según el caso (Debe reposar en cada expediente donde obre impedimento).</t>
  </si>
  <si>
    <t xml:space="preserve">SISTEMA DE GESTIÓN DOCUMENTAL ORFEO, COPIA FISICA EN EL EXPEDIENTE DE LA SOLICITUD Y FORMATO A-CID-F007 Seguimiento a Autos Interlocutorios y/o de Sustanciación.   </t>
  </si>
  <si>
    <t>Subdirectora de Estudios Ambientales - Coordinador Acreditación de Laboratorio</t>
  </si>
  <si>
    <t>Manejo inadecuado de la información generada por la entidad para obtener beneficios.</t>
  </si>
  <si>
    <t>Perdida de Imagen, confianza y credibilidad Institucional.</t>
  </si>
  <si>
    <t>Documento análisis del monitoreo de medios.                       Documento estadistico de reporte de las redes  sociales.</t>
  </si>
  <si>
    <t>Evitar / Reducir</t>
  </si>
  <si>
    <t>Permanente</t>
  </si>
  <si>
    <t>Desconocimiento de las funciones y objetivos de la Oficina de Control Interno por parte de las demás dependencias.</t>
  </si>
  <si>
    <t>Falta de receptividad de las dependencias del Instituto frente a los informes y seguimientos con recomendaciones realizadas por la Oficina de Control Interno para la mejora contínua.</t>
  </si>
  <si>
    <t>Omisión en las áreas del Instituto de las observaciones de OCINT en los informes del proceso auditor.</t>
  </si>
  <si>
    <t>El mejoramiento contínuo en los procesos, se ve afectado contribuyendo a un nivel de susceptibilidad mayor de la corrupción.</t>
  </si>
  <si>
    <t>Realizar reuniones de apertura y cierre con el lider del proceso y auditados informando los aspectos más relevantes, generando recomendaciones. Procedimiento C-EM-P001 -Auditoria Interna -#6-Actividades 7 a 10.
Formulacion y revisión plan de mejoramiento. Procedimiento C-EM-P002 -Gestion de planes de mejoramiento.</t>
  </si>
  <si>
    <t>Actividades descritas en el procedimiento C-EM-P002 -Gestion de planes de mejoramiento -#6-Ejecución y Seguimiento del Plan de Mejoramiento -Actividades 4 a 9.
Realizar reuniones de acompañamiento/asesoría con los funcionarios de los diferentes procesos institucionales.</t>
  </si>
  <si>
    <t>Actas de reuniones con los funcionarios de los procesos institucionales.
Informes de seguimiento a los planes de mejoramiento suscritos con las dependencias.</t>
  </si>
  <si>
    <t>Inobservancia frente a los fundamentos éticos de un profesional/auditor.
Ausencia de controles efectivos.
Desconocimiento de las normas vigentes sobre la materia a evaluar.
Presiones indebidas/tráfico de influencias y favorabilidad.</t>
  </si>
  <si>
    <t>Generación de informes sin la debida idoneidad por parte de los auditores de la Oficina de Control Interno.</t>
  </si>
  <si>
    <t>Informes de auditorías sin soportes/evidencias claras, objetivas o pertinentes.</t>
  </si>
  <si>
    <t>Falta de credibilidad en la gestión de la Oficina de Control Interno, facilitando la ocurrencia de actos de corrupción.</t>
  </si>
  <si>
    <t>Revisión y elaboración del Informe de Auditoria por el Jefe de Oficina de Control Interno y/o Representante de la Alta Dirección. 
Procedimiento C-EM-P001 -Auditoria Interna -#6-Actividades 11 y 12.
Código de Ética de los servidores de la Oficina de Control Interno.</t>
  </si>
  <si>
    <t>Reuniones de retroalimentación/estudio con los servidores de la Oficina de Control Interno. 
Revisar en las reuniones de retroalimentación y de forma periódica, el cumplimiento de las disposiciones definidas en el Código de Ética de los servidores públicos de la Oficina de Control Interno.</t>
  </si>
  <si>
    <t>Actas de reuniones de retroalimentación/estudio.</t>
  </si>
  <si>
    <t>Documentos del Sistema de Gestión</t>
  </si>
  <si>
    <t>Soportes de auditoría
Tip´s de seguridad</t>
  </si>
  <si>
    <t>RIESGO DE CORRUPCION</t>
  </si>
  <si>
    <t xml:space="preserve">Divulgacion de Informacion sin verificacion y validacion .Procesos Disciplinarios. Acciones legales contra el Instituto. Perdida de Credibilidad del Instituto </t>
  </si>
  <si>
    <t>Suministro por parte de los funcionarios no autorizados de información hidrometeorológica y ambiental por fuera de los canales establecidos para tal fin, para beneficio particular.</t>
  </si>
  <si>
    <t>Suministro información hidrometeorológica y ambiental para beneficio particular.</t>
  </si>
  <si>
    <t>Tiempo de resago de información en los procesos de verificación y validación.
Deficiencia en los procesos y procedimientos para la gestión de datos e información.</t>
  </si>
  <si>
    <t xml:space="preserve">B    </t>
  </si>
  <si>
    <t xml:space="preserve">B                             </t>
  </si>
  <si>
    <t>COORDINADOR GRUPO DE CONTABILIDAD</t>
  </si>
  <si>
    <t>Información inconsistente de los bienes de propiedad de la entidad a las auditorias externas e internas. 
Inventarios desactualizados de los funcionarios.</t>
  </si>
  <si>
    <t>Uso inadecuado de los bienes en custodia de bienes en bodega.</t>
  </si>
  <si>
    <t>Uso inadecuado de los bienes en custodia del almacen para el  beneficio a terceros.</t>
  </si>
  <si>
    <t>*Detrimento patrimonial.
*Sanciones disciplinarias por parte de los entes de control.
*Afectación de la imagen de la entidad.</t>
  </si>
  <si>
    <t>Se pueden generar actos de corrupcion en la elaboracion y tramites de productos e informes</t>
  </si>
  <si>
    <t>Riesgos legales, perdida de imagen Institucional</t>
  </si>
  <si>
    <t>Catastrofico</t>
  </si>
  <si>
    <t>l</t>
  </si>
  <si>
    <t>Oficina Asesora de Planeación</t>
  </si>
  <si>
    <t>Seguimiento Plan Operativo Anual</t>
  </si>
  <si>
    <t>Coordinador Grupo Acreditación</t>
  </si>
  <si>
    <t>N. Recursos de reposición donde se acepte por lo menos un argumento presentado por el usuario</t>
  </si>
  <si>
    <t>BIBIANA SANDOVAL 
Coordinadora Grupo de Atención al Ciudadano</t>
  </si>
  <si>
    <t>(Casos de corrupción de Atención al Ciudadano denunciados/Total de PQRS)*100
=0%</t>
  </si>
  <si>
    <t>OFICINA ASESORA JURIDICA</t>
  </si>
  <si>
    <t>Coordinadora Grupo de Contabilidad</t>
  </si>
  <si>
    <t>Tramitar cuentas sin los soportes legales</t>
  </si>
  <si>
    <t xml:space="preserve">GRUPO DE PRESUPUESTO </t>
  </si>
  <si>
    <t>Informes de Ejecucion Presupuestal mensual publicados en la pagina WEB.</t>
  </si>
  <si>
    <t>Grupo Tesoreria</t>
  </si>
  <si>
    <t>Total de ordenes de pago pagadas/Total de obligaciones del mes *100</t>
  </si>
  <si>
    <t>oficina de Informatica</t>
  </si>
  <si>
    <t>ASESOR JURIDICO GRUPO DE SERVICIOS ADMINISTRATIVOS</t>
  </si>
  <si>
    <t>PROFESIONAL GRUPO DE SERVICIOS ADMINISTRATIVOS, COORDINADOR GRUPO DE SERVICIOS ADMINISTRATIVOS</t>
  </si>
  <si>
    <t>EMPRESA DE VIGILANCIA, PROFESIONAL GRUPO DE SERVICIOS ADMINISTRATIVOS</t>
  </si>
  <si>
    <t>Profesional Universitario</t>
  </si>
  <si>
    <t>Jefe de la Oficina de Control Interno y funcionarios del área.</t>
  </si>
  <si>
    <t>Grupo de Comunicaciones</t>
  </si>
  <si>
    <t>30-04-2018</t>
  </si>
  <si>
    <t>Codigo:E-SGI-F006</t>
  </si>
  <si>
    <t>Codigo E-SGI-F006</t>
  </si>
  <si>
    <t>Falta de controles y supervision en la generacion  y difusion  de productos finales. Uso de informacion no oficial</t>
  </si>
  <si>
    <t>Manipulacion de la informacion Hidrometeorologica y ambiental para  beneficio particular</t>
  </si>
  <si>
    <t>Aplicación del procedimiento y verificacion de los puntos de control antes de la emision de los informes/Conceptos/Certificaciones a publicar.divulgacion y oficializacion de los productos</t>
  </si>
  <si>
    <t>Realizar seguimiento a los controles establecidos.</t>
  </si>
  <si>
    <t>Reporte de Seguimiento</t>
  </si>
  <si>
    <t>Subdirectores
Director General</t>
  </si>
  <si>
    <t>Procedimientos documentados
Resolución uso ORFEO
Resolución tiempos de respuesta Soportes documentales (libretas de observaciones, gráficas registradores, hojas de inspección, etc).
Politicas de Seguridad y acceso a la información (Perfil de Usuario Banco de Datos DHIME)
Archivos de registro de acceso DHIME (LOG)
Copias de respaldo de acuerdo a directrices de la Oficina de Informática</t>
  </si>
  <si>
    <t>Actualizar procedimientos.
Incluir procedimientos en el SGI.                                                                                                                                                         Estandarización del proceso con la implementación de la plataforma tecnológica DHIME</t>
  </si>
  <si>
    <t>Procedimientos actualizados. 
Procedimientos cargados en el SGI.                         Procedimientos cargados en el DHIME.</t>
  </si>
  <si>
    <t xml:space="preserve">Coordinación del Grupo de Control Disciplinario Interno. </t>
  </si>
  <si>
    <t>OBSERVACIONES DE OFICINA ASESORA DE PLANEACION</t>
  </si>
  <si>
    <t xml:space="preserve">1.  - Formatos  de Seguimiento realizados por los auditores de la Oficina de Control Interno.
- Las respectivas actas y listados de asistencia a reuniones de apertura y cierre, reposan en el archivo de cada auditor.
2. Listas de Asistencia a  reuniones de acompañamiento/asesoría  sobre planes de mejoramiento, con los funcionarios de los procesos institucionales los cuales  reposan en el archivo de cada  auditor.
</t>
  </si>
  <si>
    <t>Registro de las actividades adelantadas por los abogados en los procesos contractuales. 
Actas del Comité de contratación donde se evalúan los procesos contractuales.</t>
  </si>
  <si>
    <t>Registro de seguimiento de los procesos contractuales. 
Actas de Comité de Contratación</t>
  </si>
  <si>
    <t>Número de personal contratado/ Número de procesos contractuales revisados, aprobados y suscritos,</t>
  </si>
  <si>
    <t>MODERADO</t>
  </si>
  <si>
    <t>Revisión preliminar de los llamados "Recursos de Reposición" por parte del jurídico, antes de tomar decisiones técnicas
Comunicados públicos sobre decisiones técnicas tomados en conjunto referentes a los temas reiterativos que generan conflicto en el trámite</t>
  </si>
  <si>
    <t>Implementación del Sistema de Gestión de Calidad basado en la norma ISO 17011, para definir las políticas generales de decisiones y normalizar el hacer diario del equipo completo relacionado con el proceso</t>
  </si>
  <si>
    <t>Profesional Universitario Grupo Acreditación</t>
  </si>
  <si>
    <t>Numero de documentos de normalizacion generados para la unificacion de criterios de acreditacion</t>
  </si>
  <si>
    <t>Gestion Documental</t>
  </si>
  <si>
    <t>Administrar la produccion, tramite, Almacenamiento Digital,recuperacion consulta y custodia de la correspondencia Institucional, difundir y disponer para consulta la informacion Ambiental y Administrativa del Instituto y el Sistema ambiental -SINA</t>
  </si>
  <si>
    <t xml:space="preserve">Coordinador grupo Documentacion, Archivo y Correspondencia </t>
  </si>
  <si>
    <t>Desconocimiento o mala aplicación de la normatividad vigente.
Desconocimiento de los procesos, procedimientos y otros documentos del Sistema de Gestión Integrado.</t>
  </si>
  <si>
    <t>Inadecuado uso y manejo de los documentos públicos.</t>
  </si>
  <si>
    <t>Inadecuado uso y manejo de los documentos públicos con beneficio personal o de terceros.</t>
  </si>
  <si>
    <t>Sanciones disciplinarias.
Reprocesos y perdida de tiempo.
Mala imagen del Instituto.
Pérdida de la memoria Institucional.</t>
  </si>
  <si>
    <t>A-GD-I001 INSTRUCTIVO CREACION DE USUARIOS Y TERCEROS
A-GD-I002 INSTRUCTIVO ELABORACION Y MODIFICACION TRD
A-GD-M001 PROGRAMA DE GESTIÓN DOCUMENTAL
A-GD-P001 PROCEDIMIENTO ADMINISTRACION ARCHIVO CENTRAL
A-GD-P002 PROCEDIMIENTO DIGITALIZACION DOCUMENTOS.
A-GD-P004 PROCEDIMIENTO ORGANIZACION FISICA DOCUMENTOS RADICADOS.
A-GD-P005 PROCEDIMIENTO PRESTAMO DE DOCUMENTOS
A-GD-P006 PROCEDIMIENTO RECEPCION, RADICACION Y ENVIO CORRESPONDENCIA INTERNA Y EXTERNA</t>
  </si>
  <si>
    <t>trimestral</t>
  </si>
  <si>
    <t xml:space="preserve">1-Se actualizaron las TRD de Subdirección de Hidrología
Grupo de Modelación y Pronósticos Hidrológicos
Grupo de Laboratorio de Calidad Ambiental
Grupo de Monitoreo Hidrológico
Grupo de Evaluación Hidrológica
Grupo de Instrumentos y Metalmecánica
Grupo de Automatización
Grupo de Planeación Operativa
Modelo para las 11 Áreas Operativas
Oficina Asesora de Planeación
Grupo de Administración y Desarrollo de Talento Humano
Secretaría General
Grupo de Comunicaciones
Subdirección de Estudios Ambientales
2. Elaboración de los siguientes documentos:
A-GD-G001 GUIA PARA LA ORGANIZACIÓN DE ARCHIVOS EN EL IDEAM
A-GD-I006 INSTRUCTIVO PARA LA REALIZACIÓN DE TRANSFERENCIAS PRIMARIAS EN EL IDEAM
A-GD-P006  PROCEDIMIENTO PARA LA ADMINISTRACIÓN DE LAS COMUNICACIONES OFICIALES EN EL IDEAM
M-GDI-H-P-01 PROTOCOLO PARA LA ORGANIZACIÓN DE DOCUMENTOS HIDROMETEOROLÓGICOS Y AMBIENTAL
•  Resolución 3104 de diciembre de 2017, Reglamento de Correspondencia y Archivo del IDEAM.
.
</t>
  </si>
  <si>
    <t>SGI</t>
  </si>
  <si>
    <t xml:space="preserve">Coordinador Grupo de Gestión Documental y Centr de Documentación
</t>
  </si>
  <si>
    <t>OBSERVACIONES DE LA OFICINA ASESORA DE PLANEACION</t>
  </si>
  <si>
    <t>Ofrecimiento de sobornos  al funcionario encargado del establecimiento de los indicadores financieros para los procesos contractuales que adelanta el Ideam.</t>
  </si>
  <si>
    <t xml:space="preserve">1. Influencia de Terceros para la vinculación del personal. 
2. Intereses personales para favorecer a un tercero.
</t>
  </si>
  <si>
    <t>Direccionamiento de vinculación en favor de un tercero.</t>
  </si>
  <si>
    <t xml:space="preserve">
*Sanciones disciplinarias, fiscales y/o penales.
</t>
  </si>
  <si>
    <t xml:space="preserve">Aplicar el procedimiento de vinculación y desvinculación de personal A-GH-P001.
Revisar cumplimiento de los requisitos exigidos en el Manual de Funciones y Competencias Laborales. 
Actualizar la matriz de planta de personal, los perfiles con base en las hojas de vida analizadas para el cargo vacante, a partir del banco de hojas de vida
</t>
  </si>
  <si>
    <t xml:space="preserve">*Verificar y actualizar el procedimiento de vinculación y desvinculación de personal A-GH-P001.
*Efectuar la gestión de vinculación del personal conforme al procedimiento establecido, en todos los casos. 
*Validación de los requisitos para vinculación de cargos en el Instituto.
</t>
  </si>
  <si>
    <t>Reporte de actos administrativos Secretaria General
Comunicaciones</t>
  </si>
  <si>
    <t xml:space="preserve">Profesionales de la Subdirección
Subdirector
</t>
  </si>
  <si>
    <t xml:space="preserve">
* Cumplimiento de los requisitos del cargo a través del Formato Análisis Hoja de Vida A-GH-F012. 
*Número de publicaciones de encargos y nombramientos provisionales. 
*Matriz de planta de personal actualizada.
</t>
  </si>
  <si>
    <t>Servicios: Laboratorio de Calidad Ambiental</t>
  </si>
  <si>
    <t>Coordinadora Laboratorio de Calidad Ambiental</t>
  </si>
  <si>
    <t>Deficiencias en la información suministrada a las partes interesadas</t>
  </si>
  <si>
    <t>Suministro información de la red de calidad de agua para beneficio particular.</t>
  </si>
  <si>
    <t>Suministro de información de la red de calidad de agua por parte de los funcionarios no autorizados, por fuera de los canales establecidos para tal fin, para beneficio particular.</t>
  </si>
  <si>
    <t>Procesos Disciplinarios. Acciones legales contra el Instituto. Pérdida de Credibilidad del Instituto.</t>
  </si>
  <si>
    <t>RARA VEZ</t>
  </si>
  <si>
    <t>La respuesta a las solicitudes se generan por los canales dispuestos por la oficina de atención al ciudadano.</t>
  </si>
  <si>
    <t>Asumir el riesgo, reducir el riesgo</t>
  </si>
  <si>
    <t>Respuestas oportunas a las solicitudes por los canales dispuestos para tal fin.</t>
  </si>
  <si>
    <t>orfeo, correo institucional, oficios.</t>
  </si>
  <si>
    <t>Numero de respuesta a solicitudes/ Numero de solicitudes recibidas</t>
  </si>
  <si>
    <t>No. de políticas auditadas en la vigencia(4/15), ver archivo llamado Indicadores PAAC Agosto 2018 hoja "Mayo - Agosto"</t>
  </si>
  <si>
    <t>Informe PQRS Grupo de Atencion al Ciudadano.                             Datos publicados en DHIME</t>
  </si>
  <si>
    <t>Gestion del SGI- 17011- Sistema de Gestion de Calidad-  Acreditacion de Laboratorios</t>
  </si>
  <si>
    <t xml:space="preserve">Cumplimiento cronograma y agenda de divulgación asi:
Boletines publicados / Cronograma Boletines
Agenda divulgaciones Grupo de Comunicaciones 
</t>
  </si>
  <si>
    <t>Auto de inicio de proceso, informes técnicos y el seguimiento a las Pruebas de Evaluación de Desempeño, son controles para mantener conceptos coherentes relacionados con la acreditacion</t>
  </si>
  <si>
    <t>º</t>
  </si>
  <si>
    <t>TERCER CUATRIMESTRE 2018</t>
  </si>
  <si>
    <t>Se aplicaron los Controles, mediante el seguimiento a los Formatos con Códigos: A-CID-F005; A-CID-F006 y especialmente al formato A-CID-F007 de Seguimiento a Autos Interlocutorios y/o de Sustanciación,   para evitar la materialización del riesgo.</t>
  </si>
  <si>
    <t xml:space="preserve">Formato Código: A-CID-F005 V2 seguimiento y control de expedientes; Formato A-CID-F006 Seguimiento y Control a Oficios y/o Memorandos y Formato A-CID-F007 Seguimiento a Autos Interlocutorios y/o de Sustanciación.   </t>
  </si>
  <si>
    <t>30 DE NOVIEMBRE DE 2018</t>
  </si>
  <si>
    <t>Durante el periodo de ejecución se aplicaron los controles frente a este riesgo a traves de los Formatos con Códigos: A-CID-F005 V2; A-CID-F006 y especialmente al formato A-CID-F007 de Seguimiento a Autos Interlocutorios y/o de Sustanciación. En consecuencia,  en este periodo de medición, no se presentó materialización del riesgo .</t>
  </si>
  <si>
    <t>Durante el periodo de ejecución se aplicaron los controles frente a este riesgo a traves del Formato A-CID-F005 V2 Control y Seguimiento de expedientes y Formato A-CID-F006 Seguimiento y Control a Oficios y/o Memorandos, encontrando los siguientes registros:
1. Mediante memorando interno numero  913, Orfeo 20182010005163 de 04 de octubre de 2018, la Coordinadora de Instrucción de CDI manifestó impedimento, el cual fue aceptado por la Secretaria General a través de Auto 167 de 2018 y asumió la competencia al interior del radicado SG-052-18.</t>
  </si>
  <si>
    <t>Formato A-CID-F006 Seguimiento y Control a Oficios y/o Memorandos - l Formato Código: A-CID-F005 V2 seguimiento y control de expedientes. Formato A-CID-F007 seguimiento a Autos Interlocutorios y/o de Sustanciación.</t>
  </si>
  <si>
    <t>Durante el periodo de ejecución se aplicaron los controles frente a este riesgo a traves del Formato A-CID-F005 V2 Control y Seguimiento de expedientes, Formato A-CID-F006 Seguimiento y Control a Oficios y/o Memorandos y Formato A-CID-F007 seguimiento a Autos Interlocutorios y/o de Sustanciación, encontrando los siguientes registros:
1. Mediante memorando interno numero  913, Orfeo 20182010005163 de 04 de octubre de 2018, la Coordinadora de Instrucción de CDI manifestó impedimento, el cual fue aceptado por la Secretaria General a través de Auto 167 de 2018 y asumió la competencia al interior del radicado SG-052-18.</t>
  </si>
  <si>
    <t xml:space="preserve"> Se hizo seguimiento a los Formato A-CID-F006 y especialmente al formato A-CID-F007 de seguimiento a Autos InterlocutoriosSeguimiento y/o de sustanciacion, al igual que al  Formato Código: A-CID-F005 V2  seguimiento y control de expedientes, y a la fecha de corte  no se presento Materializacion del Riesgo.</t>
  </si>
  <si>
    <t xml:space="preserve">Se observo que estan aplicando los controles para evitar la materializacion del Riesgo, los cuales estan evidenciados en los formatos respectivos. 'Durante el periodo de ejecución se aplicaron los controles frente a este riesgo a traves del Formato A-CID-F005 V2 Control y Seguimiento de expedientes, Formato A-CID-F006 Seguimiento y Control a Oficios y/o Memorandos  - Formato A-CID-F007 seguimiento a Autos Interlocutorios y/o de Sustanciación, encontrando los siguientes registros: 1. Mediante memorando interno numero  913, Orfeo 20182010005163 de 04 de octubre de 2018, la Coordinadora de Instrucción de CDI manifestó impedimento, el cual fue aceptado por la Secretaria General a través de Auto 167 de 2018 y asumió la competencia al interior del radicado SG-052-18.
</t>
  </si>
  <si>
    <r>
      <t xml:space="preserve">Revisar ejecuciones presupuestales y publicar en la página WEB.
</t>
    </r>
    <r>
      <rPr>
        <sz val="11"/>
        <color theme="1"/>
        <rFont val="Arial Narrow"/>
        <family val="2"/>
      </rPr>
      <t>*Se encuentran publicadas en pdf y formato de datos abiertos las correspondientes ejecuciones mes vencido en  con corte a 30 de NOVIEMBRE de 2018 se encuentras publicadas en la pagina web las ejecuciones mensuales hasta el 31 de octubre de 2018.</t>
    </r>
    <r>
      <rPr>
        <sz val="11"/>
        <rFont val="Arial Narrow"/>
        <family val="2"/>
      </rPr>
      <t xml:space="preserve">
1.1. Se revisan y validan los Seguimientos Contractuales de las dependencias que remite la Oficina Asesora de Planeación para aprobación, en lo que respecta a las asignaciones presupuestales de las dependencias y la ejecución presupuestal de la entidad, esta validación se efectúa cruzando el Seguimiento contractual (las apropiaciones vigentes por dependencia, por rubro presupuestal, recurso presupuestal, vigencia futura y los Registros Presupuestales Expedidos para cada Certificados de Disponibilidad Presupuestal) y los Certificados de Disponibilidad Presupuestal  expedidos, con el fin de verificar que se haya expedido conforme a el rubro, recurso, dependencia de afectación, objeto acorde con el renglón, actividad estipulada en el plan aprobado o evitar cambios en los ítems enunciados que afectan la información de los Certificados de Disponibilidad Presupuestal expedidos.
Evidencia 1.1.1. Informe de Seguimiento Contractual detallado manejado mediante el correo electrónico presupuesto@ideam.gov.co
Evidencia 1.1.2 .Esta información se encuentra en la ruta: M:\SECRETARIA_GENERAL\GRP_PRESUPUESTO\2018\VIGENCIA 2018\Seguimiento Contractual 2018. Con corte a 30 de NOVIEMBRE de 2018 se han revisaron y validaron 133 versiones de los Seguimientos Contractuales de las dependencias del Instituto.
1.2. Se realiza control de las solicitudes de CDP'S allegadas al grupo de presupuesto para tramité, mediante el diligenciamiento de una base de datos que contiene ítems, Fecha de elaboración, No de radicado Orfeo, documento a elaborar, tipo de documento, dependencia de afectación, sub unidad afectación, rubro, objeto de gasto, Ordinal, objeto, valor a reducir, anular y/o adicionar, valor actual, No SCDP, No CDP. Así mismo se liberan los saldos no comprometidos de los Certificados de Disponibilidad Presupuestal asociados a contratos.
Evidencia 1.2.1.  Esta información se encuentra en las rutas: M:\SECRETARIA_GENERAL\GRP_PRESUPUESTO\2018\VIGENCIA 2018\MARTHA 2018\CONTROL DE CDP 2018. 
M:\SECRETARIA_GENERAL\GRP_PRESUPUESTO\2018\VIGENCIA 2018\ALICIA\BASES DE DATOS. 
Con corte a 30 de NOVIEMBRE de 2018 se elaboraron 703 CDP’s para contratación.
Evidencia 1.2.2. Se cuenta con el expediente 201820301817900001E, en el que se incluyen todos los procesos asociados a la expedición, adición, reducción y anulación de CDP's.
Evidencia 1.2.3. Se realiza trimestralmente seguimiento a los CDP’s expedidos con tiempo mayor a 60 días y que no se encuentran con registro presupuestal, se remiten las comunicaciones a los supervisores de contrato responsables de la ejecución mediante los radicados 20182030002553, 20182030002563, 20182030002573,   20182030002583, 20182030002933, 20182030002943, 20182030002953 y 20182030002963, el soporte de las comunicaciones enviadas se encuentra con corte a 30 de NOVIEMBRE de 2018 en el expediente 201820304310700009E.
2.1 Se realiza seguimiento a la Expedición de RPC´s validando información correspondiente a cada contrato la cual contiene los siguientes ítems, Fecha de elaboración, Abogado que elaboro Cto, No de radicado Orfeo, documento a elaborar, labor, tipo de documento, Dependencia afectación del gasto, documento soporte, beneficiario, rubro, recurso valor, descripción del objeto, No. Solicitud CDP, No. CDP, No. Registro Presupuestal y Observaciones.
Evidencia 2.1.1. La información correspondiente a dicha revisión se encuentra en las rutas: M:\SECRETARIA_GENERAL\GRP_PRESUPUESTO\2018\VIGENCIA 2018\JOHANNA\CONTROL 2018\SEGUIMIENTO EXPEDICION CDPS Y RPCS 2018. 
M:\SECRETARIA_GENERAL\GRP_PRESUPUESTO\2018\VIGENCIA 2018\JEISSON\IDEAM 2018\IDEAM 2018\SEGUIMIENTO EXPEDICION CDPS Y RPCS 2018. 
Con corte a  30 de NOVIEMBRE de 2018 se elaboraron 603 RPCS.
Evidencia 2.1.2. Se realiza seguimiento presupuestal a los planes de pago de los contratos, acorde a las forma de pago pactadas, se remiten las comunicaciones a los supervisores de contrato responsables de la ejecución mediante los radicados 20182030002293, 20182030002303, 20182030002313 y 20182030002323; el soporte de las comunicaciones enviadas con corte a 30 de NOVIEMBRE de 2018 se encuentra en el expediente 201820304310700009E.
2.2. Se realiza seguimiento a la ejecución de las reservas presupuestales constituidas para la vigencia 2018, para lo cual se identifica mensualmente los porcentajes de pago de cada Compromiso Presupuestal, los porcentaje de pagos no ejecutados que se validan con las prórrogas emitidas por la Oficina Asesora Jurídica.
Evidencia 2.2.1. La información correspondiente al seguimiento del pago mensual de reservas se encuentra en las rutas: 
M:\SECRETARIA_GENERAL\GRP_PRESUPUESTO\2018\VIGENCIA 2018\JOHANNA\RESERVAS.
M:\SECRETARIA_GENERAL\GRP_PRESUPUESTO\2018\VIGENCIA 2018\JEISSON\RESERVAS.
Evidencia 2.2.2. Producto del seguimiento presupuestal se remiten las comunicaciones a los supervisores de contrato responsables de la ejecución de las reservas presupuestales constituidas mediante el radicado   20182030002263, el soporte de las comunicaciones enviadas con corte a 30 de NOVIEMBRE de 2018 se encuentra en el expediente No. 201820304310700004E.
</t>
    </r>
  </si>
  <si>
    <r>
      <rPr>
        <sz val="11"/>
        <color theme="1"/>
        <rFont val="Arial Narrow"/>
        <family val="2"/>
      </rPr>
      <t>*Se encuentran publicadas en pdf y formato de datos abiertos las correspondientes ejecuciones mes vencido en  con corte a 30 de NOVIEMBRE de 2018 se encuentras publicadas en la pagina web las ejecuciones mensuales hasta el 31 de octubre de 2018.</t>
    </r>
    <r>
      <rPr>
        <sz val="11"/>
        <rFont val="Arial Narrow"/>
        <family val="2"/>
      </rPr>
      <t xml:space="preserve">
1.1. Se revisan y validan los Seguimientos Contractuales de las dependencias que remite la Oficina Asesora de Planeación para aprobación, en lo que respecta a las asignaciones presupuestales de las dependencias y la ejecución presupuestal de la entidad, esta validación se efectúa cruzando el Seguimiento contractual (las apropiaciones vigentes por dependencia, por rubro presupuestal, recurso presupuestal, vigencia futura y los Registros Presupuestales Expedidos para cada Certificados de Disponibilidad Presupuestal) y los Certificados de Disponibilidad Presupuestal  expedidos, con el fin de verificar que se haya expedido conforme a el rubro, recurso, dependencia de afectación, objeto acorde con el renglón, actividad estipulada en el plan aprobado o evitar cambios en los ítems enunciados que afectan la información de los Certificados de Disponibilidad Presupuestal expedidos.
Evidencia 1.1.1. Informe de Seguimiento Contractual detallado manejado mediante el correo electrónico presupuesto@ideam.gov.co
Evidencia 1.1.2 .Esta información se encuentra en la ruta: M:\SECRETARIA_GENERAL\GRP_PRESUPUESTO\2018\VIGENCIA 2018\Seguimiento Contractual 2018. Con corte a 30 de NOVIEMBRE de 2018 se han revisaron y validaron 133 versiones de los Seguimientos Contractuales de las dependencias del Instituto.
1.2. Se realiza control de las solicitudes de CDP'S allegadas al grupo de presupuesto para tramité, mediante el diligenciamiento de una base de datos que contiene ítems, Fecha de elaboración, No de radicado Orfeo, documento a elaborar, tipo de documento, dependencia de afectación, sub unidad afectación, rubro, objeto de gasto, Ordinal, objeto, valor a reducir, anular y/o adicionar, valor actual, No SCDP, No CDP. Así mismo se liberan los saldos no comprometidos de los Certificados de Disponibilidad Presupuestal asociados a contratos.
Evidencia 1.2.1.  Esta información se encuentra en las rutas: M:\SECRETARIA_GENERAL\GRP_PRESUPUESTO\2018\VIGENCIA 2018\MARTHA 2018\CONTROL DE CDP 2018. 
M:\SECRETARIA_GENERAL\GRP_PRESUPUESTO\2018\VIGENCIA 2018\ALICIA\BASES DE DATOS. 
Con corte a 30 de NOVIEMBRE de 2018 se elaboraron 703 CDP’s para contratación.
Evidencia 1.2.2. Se cuenta con el expediente 201820301817900001E, en el que se incluyen todos los procesos asociados a la expedición, adición, reducción y anulación de CDP's.
Evidencia 1.2.3. Se realiza trimestralmente seguimiento a los CDP’s expedidos con tiempo mayor a 60 días y que no se encuentran con registro presupuestal, se remiten las comunicaciones a los supervisores de contrato responsables de la ejecución mediante los radicados 20182030002553, 20182030002563, 20182030002573,   20182030002583, 20182030002933, 20182030002943, 20182030002953 y 20182030002963, el soporte de las comunicaciones enviadas se encuentra con corte a 30 de NOVIEMBRE de 2018 en el expediente 201820304310700009E.
2.1 Se realiza seguimiento a la Expedición de RPC´s validando información correspondiente a cada contrato la cual contiene los siguientes ítems, Fecha de elaboración, Abogado que elaboro Cto, No de radicado Orfeo, documento a elaborar, labor, tipo de documento, Dependencia afectación del gasto, documento soporte, beneficiario, rubro, recurso valor, descripción del objeto, No. Solicitud CDP, No. CDP, No. Registro Presupuestal y Observaciones.
Evidencia 2.1.1. La información correspondiente a dicha revisión se encuentra en las rutas: M:\SECRETARIA_GENERAL\GRP_PRESUPUESTO\2018\VIGENCIA 2018\JOHANNA\CONTROL 2018\SEGUIMIENTO EXPEDICION CDPS Y RPCS 2018. 
M:\SECRETARIA_GENERAL\GRP_PRESUPUESTO\2018\VIGENCIA 2018\JEISSON\IDEAM 2018\IDEAM 2018\SEGUIMIENTO EXPEDICION CDPS Y RPCS 2018. 
Con corte a  30 de NOVIEMBRE de 2018 se elaboraron 603 RPCS.
Evidencia 2.1.2. Se realiza seguimiento presupuestal a los planes de pago de los contratos, acorde a las forma de pago pactadas, se remiten las comunicaciones a los supervisores de contrato responsables de la ejecución mediante los radicados 20182030002293, 20182030002303, 20182030002313 y 20182030002323; el soporte de las comunicaciones enviadas con corte a 30 de NOVIEMBRE de 2018 se encuentra en el expediente 201820304310700009E.
2.2. Se realiza seguimiento a la ejecución de las reservas presupuestales constituidas para la vigencia 2018, para lo cual se identifica mensualmente los porcentajes de pago de cada Compromiso Presupuestal, los porcentaje de pagos no ejecutados que se validan con las prórrogas emitidas por la Oficina Asesora Jurídica.
Evidencia 2.2.1. La información correspondiente al seguimiento del pago mensual de reservas se encuentra en las rutas: 
M:\SECRETARIA_GENERAL\GRP_PRESUPUESTO\2018\VIGENCIA 2018\JOHANNA\RESERVAS.
M:\SECRETARIA_GENERAL\GRP_PRESUPUESTO\2018\VIGENCIA 2018\JEISSON\RESERVAS.
Evidencia 2.2.2. Producto del seguimiento presupuestal se remiten las comunicaciones a los supervisores de contrato responsables de la ejecución de las reservas presupuestales constituidas mediante el radicado   20182030002263, el soporte de las comunicaciones enviadas con corte a 30 de NOVIEMBRE de 2018 se encuentra en el expediente No. 201820304310700004E.
</t>
    </r>
  </si>
  <si>
    <t>* Revisar y actualizar el instrumento de Políticas de Seguridad y Privacidad de la información
* Realización de las auditorias planeadas en el año.
* Registrar y solucionar los incidentes de seguridad reportados y/o detectados.
* Sensibilización y capacitación a los servidores publicos del Instituto sobre seguridad  de la información.
*  Realizar Tip´s de seguridad , para su difusión.
* Realizar identificación y clasificación de activos de información.
* Realizar la gestión de riesgos.
* Generar el tratamiento de riesgos. 
* Hacer seguimiento a los controles de seguridad de la información.
* Actualización de los documentos de Seguridad de la información.</t>
  </si>
  <si>
    <t>1. Resolución 2071 del 30 de septiembre de 2015
2.Procedimiento de Atención al Ciudadano.
3. Formato Ordenado de registro PQRS
4. Formatos de Seguimiento PQRS.
5. Formato Reporte  PQRS  por dependencias.</t>
  </si>
  <si>
    <t>IV Trimestre</t>
  </si>
  <si>
    <t>31-01-2019</t>
  </si>
  <si>
    <t>Año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</si>
</sst>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m/yyyy;@"/>
    <numFmt numFmtId="165" formatCode="[$-F800]dddd\,\ mmmm\ dd\,\ yyyy"/>
  </numFmts>
  <fonts count="31" x14ac:knownFonts="1">
    <font>
      <sz val="11"/>
      <color theme="1"/>
      <name val="Calibri"/>
      <family val="2"/>
      <scheme val="minor"/>
    </font>
    <font>
      <sz val="10"/>
      <name val="Arial"/>
      <family val="2"/>
    </font>
    <font>
      <sz val="11"/>
      <name val="Arial"/>
      <family val="2"/>
    </font>
    <font>
      <b/>
      <sz val="11"/>
      <name val="Arial"/>
      <family val="2"/>
    </font>
    <font>
      <sz val="10"/>
      <color theme="1"/>
      <name val="Arial"/>
      <family val="2"/>
    </font>
    <font>
      <sz val="11"/>
      <color theme="1"/>
      <name val="Arial"/>
      <family val="2"/>
    </font>
    <font>
      <sz val="10"/>
      <name val="Arial"/>
      <family val="2"/>
    </font>
    <font>
      <b/>
      <sz val="11"/>
      <color rgb="FF000000"/>
      <name val="Arial"/>
      <family val="2"/>
    </font>
    <font>
      <sz val="11"/>
      <color rgb="FF000000"/>
      <name val="Arial"/>
      <family val="2"/>
    </font>
    <font>
      <b/>
      <sz val="11"/>
      <color rgb="FF276F5E"/>
      <name val="Arial"/>
      <family val="2"/>
    </font>
    <font>
      <b/>
      <sz val="11"/>
      <color rgb="FFFFFF00"/>
      <name val="Arial"/>
      <family val="2"/>
    </font>
    <font>
      <b/>
      <sz val="11"/>
      <color theme="9" tint="-0.249977111117893"/>
      <name val="Arial"/>
      <family val="2"/>
    </font>
    <font>
      <b/>
      <sz val="11"/>
      <color rgb="FFFF3300"/>
      <name val="Arial"/>
      <family val="2"/>
    </font>
    <font>
      <sz val="48"/>
      <color rgb="FFFF0000"/>
      <name val="Arial"/>
      <family val="2"/>
    </font>
    <font>
      <sz val="10"/>
      <name val="Arial Narrow"/>
      <family val="2"/>
    </font>
    <font>
      <sz val="11"/>
      <color theme="1"/>
      <name val="Calibri"/>
      <family val="2"/>
      <scheme val="minor"/>
    </font>
    <font>
      <sz val="12"/>
      <name val="Arial Narrow"/>
      <family val="2"/>
    </font>
    <font>
      <sz val="10"/>
      <color theme="1"/>
      <name val="Arial Narrow"/>
      <family val="2"/>
    </font>
    <font>
      <sz val="9"/>
      <name val="Arial"/>
      <family val="2"/>
    </font>
    <font>
      <sz val="12"/>
      <color theme="1"/>
      <name val="Arial Narrow"/>
      <family val="2"/>
    </font>
    <font>
      <sz val="11"/>
      <name val="Calibri"/>
      <family val="2"/>
      <scheme val="minor"/>
    </font>
    <font>
      <sz val="11"/>
      <color rgb="FF92D050"/>
      <name val="Arial"/>
      <family val="2"/>
    </font>
    <font>
      <sz val="14"/>
      <name val="Arial Narrow"/>
      <family val="2"/>
    </font>
    <font>
      <sz val="11"/>
      <name val="Arial Narrow"/>
      <family val="2"/>
    </font>
    <font>
      <sz val="11"/>
      <color theme="1"/>
      <name val="Arial Narrow"/>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276F5E"/>
        <bgColor indexed="64"/>
      </patternFill>
    </fill>
    <fill>
      <patternFill patternType="solid">
        <fgColor rgb="FFFFFF00"/>
        <bgColor indexed="64"/>
      </patternFill>
    </fill>
    <fill>
      <patternFill patternType="solid">
        <fgColor theme="9" tint="-0.249977111117893"/>
        <bgColor indexed="64"/>
      </patternFill>
    </fill>
    <fill>
      <patternFill patternType="solid">
        <fgColor rgb="FFFF0000"/>
        <bgColor indexed="64"/>
      </patternFill>
    </fill>
    <fill>
      <patternFill patternType="solid">
        <fgColor rgb="FF92D050"/>
        <bgColor indexed="64"/>
      </patternFill>
    </fill>
    <fill>
      <patternFill patternType="solid">
        <fgColor theme="6"/>
        <bgColor indexed="64"/>
      </patternFill>
    </fill>
    <fill>
      <patternFill patternType="solid">
        <fgColor rgb="FFFFC0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top style="medium">
        <color rgb="FF000000"/>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diagonal/>
    </border>
    <border>
      <left style="thin">
        <color indexed="64"/>
      </left>
      <right style="thin">
        <color indexed="64"/>
      </right>
      <top style="thin">
        <color indexed="64"/>
      </top>
      <bottom style="medium">
        <color indexed="64"/>
      </bottom>
      <diagonal/>
    </border>
    <border>
      <left style="medium">
        <color rgb="FF000000"/>
      </left>
      <right/>
      <top/>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thin">
        <color indexed="64"/>
      </left>
      <right style="thin">
        <color indexed="64"/>
      </right>
      <top style="thick">
        <color indexed="64"/>
      </top>
      <bottom style="thick">
        <color indexed="64"/>
      </bottom>
      <diagonal/>
    </border>
  </borders>
  <cellStyleXfs count="16">
    <xf numFmtId="0" fontId="0" fillId="0" borderId="0"/>
    <xf numFmtId="0" fontId="1" fillId="0" borderId="0"/>
    <xf numFmtId="0" fontId="6" fillId="0" borderId="0"/>
    <xf numFmtId="0" fontId="15" fillId="0" borderId="0"/>
    <xf numFmtId="0" fontId="25" fillId="0" borderId="0"/>
    <xf numFmtId="0" fontId="1" fillId="0" borderId="0"/>
    <xf numFmtId="0" fontId="26" fillId="0" borderId="0"/>
    <xf numFmtId="0" fontId="15" fillId="0" borderId="0"/>
    <xf numFmtId="0" fontId="1" fillId="0" borderId="0"/>
    <xf numFmtId="0" fontId="27" fillId="0" borderId="0"/>
    <xf numFmtId="0" fontId="28" fillId="0" borderId="0"/>
    <xf numFmtId="0" fontId="29" fillId="0" borderId="0"/>
    <xf numFmtId="0" fontId="30" fillId="0" borderId="0"/>
    <xf numFmtId="0" fontId="1" fillId="0" borderId="0"/>
    <xf numFmtId="0" fontId="1" fillId="0" borderId="0"/>
    <xf numFmtId="0" fontId="1" fillId="0" borderId="0"/>
  </cellStyleXfs>
  <cellXfs count="648">
    <xf numFmtId="0" fontId="0" fillId="0" borderId="0" xfId="0"/>
    <xf numFmtId="0" fontId="4" fillId="0" borderId="0" xfId="1" applyFont="1" applyFill="1" applyBorder="1" applyAlignment="1">
      <alignment vertical="center" wrapText="1"/>
    </xf>
    <xf numFmtId="0" fontId="2" fillId="0" borderId="0" xfId="1" applyFont="1" applyAlignment="1">
      <alignment vertical="center"/>
    </xf>
    <xf numFmtId="0" fontId="3" fillId="0" borderId="0" xfId="1" applyFont="1" applyBorder="1" applyAlignment="1">
      <alignment vertical="center"/>
    </xf>
    <xf numFmtId="0" fontId="3" fillId="0" borderId="0" xfId="1" applyFont="1" applyBorder="1" applyAlignment="1">
      <alignment horizontal="center" vertical="center"/>
    </xf>
    <xf numFmtId="0" fontId="2" fillId="0" borderId="0" xfId="1" applyFont="1" applyAlignment="1">
      <alignment horizontal="center" vertical="center"/>
    </xf>
    <xf numFmtId="0" fontId="2" fillId="0" borderId="0" xfId="1" applyFont="1" applyBorder="1" applyAlignment="1">
      <alignment vertical="center"/>
    </xf>
    <xf numFmtId="49" fontId="2" fillId="0" borderId="0" xfId="1" applyNumberFormat="1" applyFont="1" applyBorder="1" applyAlignment="1">
      <alignment horizontal="left" vertical="center"/>
    </xf>
    <xf numFmtId="0" fontId="2" fillId="0" borderId="0" xfId="1" applyFont="1" applyAlignment="1">
      <alignment horizontal="left" vertical="center"/>
    </xf>
    <xf numFmtId="0" fontId="2" fillId="0" borderId="0" xfId="1" applyNumberFormat="1" applyFont="1" applyBorder="1" applyAlignment="1">
      <alignment vertical="top" wrapText="1"/>
    </xf>
    <xf numFmtId="0" fontId="3" fillId="0" borderId="0" xfId="1" applyFont="1" applyAlignment="1">
      <alignment vertical="center"/>
    </xf>
    <xf numFmtId="0" fontId="2" fillId="0" borderId="0" xfId="1" applyNumberFormat="1" applyFont="1" applyBorder="1" applyAlignment="1">
      <alignment horizontal="left" vertical="center" wrapText="1"/>
    </xf>
    <xf numFmtId="49" fontId="2" fillId="0" borderId="0" xfId="1" applyNumberFormat="1" applyFont="1" applyBorder="1" applyAlignment="1">
      <alignment vertical="center"/>
    </xf>
    <xf numFmtId="0" fontId="2" fillId="0" borderId="0" xfId="1" applyFont="1" applyBorder="1" applyAlignment="1">
      <alignment horizontal="left" vertical="center"/>
    </xf>
    <xf numFmtId="0" fontId="3" fillId="0" borderId="0" xfId="1" applyFont="1" applyAlignment="1">
      <alignment horizontal="center" vertical="center"/>
    </xf>
    <xf numFmtId="49" fontId="2" fillId="0" borderId="0" xfId="1" applyNumberFormat="1" applyFont="1" applyBorder="1" applyAlignment="1">
      <alignment horizontal="center" vertical="center"/>
    </xf>
    <xf numFmtId="0" fontId="3" fillId="2" borderId="2" xfId="1" applyFont="1" applyFill="1" applyBorder="1" applyAlignment="1">
      <alignment horizontal="center" vertical="center" wrapText="1"/>
    </xf>
    <xf numFmtId="0" fontId="2" fillId="0" borderId="0" xfId="1" applyFont="1" applyFill="1" applyAlignment="1">
      <alignment vertical="center"/>
    </xf>
    <xf numFmtId="0" fontId="2" fillId="2" borderId="1" xfId="1" applyFont="1" applyFill="1" applyBorder="1" applyAlignment="1">
      <alignment horizontal="center" vertical="center" wrapText="1"/>
    </xf>
    <xf numFmtId="0" fontId="2" fillId="2" borderId="1" xfId="2"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0" borderId="1" xfId="1" applyFont="1" applyBorder="1" applyAlignment="1">
      <alignment horizontal="left" vertical="center" wrapText="1"/>
    </xf>
    <xf numFmtId="0" fontId="2" fillId="0" borderId="1" xfId="1" applyFont="1" applyBorder="1" applyAlignment="1">
      <alignment horizontal="center" vertical="center" wrapText="1"/>
    </xf>
    <xf numFmtId="0" fontId="2"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2" fillId="0" borderId="1" xfId="1" applyFont="1" applyFill="1" applyBorder="1" applyAlignment="1">
      <alignment horizontal="center" vertical="center" wrapText="1"/>
    </xf>
    <xf numFmtId="0" fontId="2" fillId="0" borderId="1" xfId="1" applyFont="1" applyBorder="1" applyAlignment="1">
      <alignment vertical="center"/>
    </xf>
    <xf numFmtId="0" fontId="5" fillId="0" borderId="0" xfId="1" applyFont="1" applyFill="1" applyAlignment="1">
      <alignment horizontal="center" vertical="center"/>
    </xf>
    <xf numFmtId="0" fontId="2" fillId="0" borderId="1" xfId="1" applyFont="1" applyBorder="1" applyAlignment="1">
      <alignment vertical="center" wrapText="1"/>
    </xf>
    <xf numFmtId="0" fontId="2" fillId="0" borderId="1" xfId="1" applyFont="1" applyBorder="1" applyAlignment="1">
      <alignment horizontal="center" vertical="center"/>
    </xf>
    <xf numFmtId="0" fontId="2" fillId="0" borderId="0" xfId="1" applyFont="1" applyFill="1" applyAlignment="1">
      <alignment horizontal="center" vertical="center"/>
    </xf>
    <xf numFmtId="0" fontId="2" fillId="0" borderId="0" xfId="1" applyFont="1" applyBorder="1" applyAlignment="1">
      <alignment vertical="center" wrapText="1"/>
    </xf>
    <xf numFmtId="0" fontId="5" fillId="0" borderId="0" xfId="1" applyFont="1" applyBorder="1" applyAlignment="1">
      <alignment horizontal="center" vertical="center"/>
    </xf>
    <xf numFmtId="0" fontId="7" fillId="0" borderId="20" xfId="1" applyFont="1" applyBorder="1" applyAlignment="1">
      <alignment horizontal="center" vertical="center" wrapText="1" readingOrder="1"/>
    </xf>
    <xf numFmtId="0" fontId="7" fillId="0" borderId="20" xfId="1" applyFont="1" applyBorder="1" applyAlignment="1">
      <alignment horizontal="center" vertical="center" wrapText="1"/>
    </xf>
    <xf numFmtId="0" fontId="7" fillId="0" borderId="21" xfId="1" applyFont="1" applyBorder="1" applyAlignment="1">
      <alignment horizontal="left" vertical="center" wrapText="1" readingOrder="1"/>
    </xf>
    <xf numFmtId="0" fontId="8" fillId="5" borderId="21" xfId="1" applyFont="1" applyFill="1" applyBorder="1" applyAlignment="1">
      <alignment horizontal="center" vertical="center" wrapText="1" readingOrder="1"/>
    </xf>
    <xf numFmtId="0" fontId="8" fillId="6" borderId="21" xfId="1" applyFont="1" applyFill="1" applyBorder="1" applyAlignment="1">
      <alignment horizontal="center" vertical="center" wrapText="1" readingOrder="1"/>
    </xf>
    <xf numFmtId="0" fontId="8" fillId="7" borderId="21" xfId="1" applyFont="1" applyFill="1" applyBorder="1" applyAlignment="1">
      <alignment horizontal="center" vertical="center" wrapText="1" readingOrder="1"/>
    </xf>
    <xf numFmtId="0" fontId="8" fillId="8" borderId="21" xfId="1" applyFont="1" applyFill="1" applyBorder="1" applyAlignment="1">
      <alignment horizontal="center" vertical="center" wrapText="1" readingOrder="1"/>
    </xf>
    <xf numFmtId="0" fontId="9" fillId="0" borderId="0" xfId="1" applyFont="1" applyAlignment="1">
      <alignment horizontal="left" vertical="center" readingOrder="1"/>
    </xf>
    <xf numFmtId="0" fontId="10" fillId="0" borderId="0" xfId="1" applyFont="1" applyAlignment="1">
      <alignment horizontal="left" vertical="center" readingOrder="1"/>
    </xf>
    <xf numFmtId="0" fontId="11" fillId="0" borderId="0" xfId="1" applyFont="1" applyAlignment="1">
      <alignment horizontal="left" vertical="center" readingOrder="1"/>
    </xf>
    <xf numFmtId="0" fontId="12" fillId="0" borderId="0" xfId="1" applyFont="1" applyAlignment="1">
      <alignment horizontal="left" vertical="center" readingOrder="1"/>
    </xf>
    <xf numFmtId="0" fontId="2" fillId="2" borderId="1"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0" borderId="1" xfId="1" applyFont="1" applyBorder="1" applyAlignment="1">
      <alignment horizontal="center" vertical="center"/>
    </xf>
    <xf numFmtId="0" fontId="13" fillId="0" borderId="0" xfId="1" applyFont="1" applyFill="1" applyBorder="1" applyAlignment="1">
      <alignment vertical="center"/>
    </xf>
    <xf numFmtId="0" fontId="2" fillId="2" borderId="16"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0" borderId="1" xfId="1" applyFont="1" applyBorder="1" applyAlignment="1">
      <alignment horizontal="center" vertical="center"/>
    </xf>
    <xf numFmtId="0" fontId="2" fillId="0" borderId="1" xfId="1" applyFont="1" applyBorder="1" applyAlignment="1">
      <alignment horizontal="center" vertical="center"/>
    </xf>
    <xf numFmtId="0" fontId="2" fillId="2"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0" borderId="1" xfId="1" applyFont="1" applyBorder="1" applyAlignment="1">
      <alignment horizontal="center" vertical="center"/>
    </xf>
    <xf numFmtId="0" fontId="3" fillId="2" borderId="6"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7" fillId="4" borderId="20" xfId="1" applyFont="1" applyFill="1" applyBorder="1" applyAlignment="1">
      <alignment horizontal="center" vertical="center" wrapText="1" readingOrder="1"/>
    </xf>
    <xf numFmtId="0" fontId="2" fillId="0" borderId="22" xfId="1" applyFont="1" applyBorder="1" applyAlignment="1">
      <alignment horizontal="center" vertical="center" wrapText="1"/>
    </xf>
    <xf numFmtId="0" fontId="2" fillId="2" borderId="1" xfId="1" applyFont="1" applyFill="1" applyBorder="1" applyAlignment="1">
      <alignment horizontal="center" vertical="center" wrapText="1"/>
    </xf>
    <xf numFmtId="0" fontId="7" fillId="4" borderId="20" xfId="1" applyFont="1" applyFill="1" applyBorder="1" applyAlignment="1">
      <alignment horizontal="center" vertical="center" wrapText="1" readingOrder="1"/>
    </xf>
    <xf numFmtId="0" fontId="2" fillId="2" borderId="12"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3" fillId="0" borderId="5" xfId="1" applyFont="1" applyBorder="1" applyAlignment="1">
      <alignment horizontal="center" vertical="center"/>
    </xf>
    <xf numFmtId="0" fontId="3" fillId="2" borderId="4" xfId="1" applyFont="1" applyFill="1" applyBorder="1" applyAlignment="1">
      <alignment horizontal="center" vertical="center" wrapText="1"/>
    </xf>
    <xf numFmtId="0" fontId="7" fillId="4" borderId="0" xfId="1" applyFont="1" applyFill="1" applyBorder="1" applyAlignment="1">
      <alignment horizontal="center" vertical="center" wrapText="1" readingOrder="1"/>
    </xf>
    <xf numFmtId="0" fontId="2" fillId="0" borderId="0" xfId="1" applyFont="1" applyBorder="1" applyAlignment="1">
      <alignment horizontal="center" vertical="center" wrapText="1"/>
    </xf>
    <xf numFmtId="0" fontId="2" fillId="2" borderId="7"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0" borderId="16" xfId="1" applyFont="1" applyBorder="1" applyAlignment="1">
      <alignment vertical="center" wrapText="1"/>
    </xf>
    <xf numFmtId="0" fontId="7" fillId="4" borderId="0" xfId="1" applyFont="1" applyFill="1" applyBorder="1" applyAlignment="1">
      <alignment horizontal="center" vertical="center" readingOrder="1"/>
    </xf>
    <xf numFmtId="0" fontId="7" fillId="0" borderId="0" xfId="1" applyFont="1" applyBorder="1" applyAlignment="1">
      <alignment horizontal="center" vertical="center" wrapText="1" readingOrder="1"/>
    </xf>
    <xf numFmtId="0" fontId="8" fillId="6" borderId="0" xfId="1" applyFont="1" applyFill="1" applyBorder="1" applyAlignment="1">
      <alignment horizontal="center" vertical="center" wrapText="1" readingOrder="1"/>
    </xf>
    <xf numFmtId="0" fontId="8" fillId="7" borderId="0" xfId="1" applyFont="1" applyFill="1" applyBorder="1" applyAlignment="1">
      <alignment horizontal="center" vertical="center" wrapText="1" readingOrder="1"/>
    </xf>
    <xf numFmtId="0" fontId="8" fillId="8" borderId="0" xfId="1" applyFont="1" applyFill="1" applyBorder="1" applyAlignment="1">
      <alignment horizontal="center" vertical="center" wrapText="1" readingOrder="1"/>
    </xf>
    <xf numFmtId="0" fontId="2" fillId="2" borderId="1" xfId="1" applyFont="1" applyFill="1" applyBorder="1" applyAlignment="1">
      <alignment horizontal="center" vertical="center" wrapText="1"/>
    </xf>
    <xf numFmtId="0" fontId="7" fillId="4" borderId="20" xfId="1" applyFont="1" applyFill="1" applyBorder="1" applyAlignment="1">
      <alignment horizontal="center" vertical="center" wrapText="1" readingOrder="1"/>
    </xf>
    <xf numFmtId="0" fontId="2" fillId="2" borderId="12"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7" fillId="4" borderId="20" xfId="1" applyFont="1" applyFill="1" applyBorder="1" applyAlignment="1">
      <alignment horizontal="center" vertical="center" wrapText="1" readingOrder="1"/>
    </xf>
    <xf numFmtId="0" fontId="14" fillId="0" borderId="1" xfId="1" applyNumberFormat="1" applyFont="1" applyBorder="1" applyAlignment="1" applyProtection="1">
      <alignment horizontal="left" vertical="center" wrapText="1"/>
    </xf>
    <xf numFmtId="0" fontId="14" fillId="0" borderId="1" xfId="1" applyNumberFormat="1" applyFont="1" applyBorder="1" applyAlignment="1" applyProtection="1">
      <alignment horizontal="left" vertical="center" wrapText="1"/>
    </xf>
    <xf numFmtId="0" fontId="14" fillId="0" borderId="1" xfId="1" applyNumberFormat="1" applyFont="1" applyBorder="1" applyAlignment="1" applyProtection="1">
      <alignment horizontal="left" vertical="center" wrapText="1"/>
    </xf>
    <xf numFmtId="0" fontId="2" fillId="3" borderId="1" xfId="1" applyFont="1" applyFill="1" applyBorder="1" applyAlignment="1">
      <alignment horizontal="left" vertical="center" wrapText="1"/>
    </xf>
    <xf numFmtId="0" fontId="2" fillId="3" borderId="1" xfId="2" applyFont="1" applyFill="1" applyBorder="1" applyAlignment="1" applyProtection="1">
      <alignment horizontal="center" vertical="center" wrapText="1"/>
      <protection locked="0"/>
    </xf>
    <xf numFmtId="0" fontId="20" fillId="0" borderId="1" xfId="1" applyNumberFormat="1" applyFont="1" applyBorder="1" applyAlignment="1" applyProtection="1">
      <alignment vertical="center" wrapText="1"/>
    </xf>
    <xf numFmtId="0" fontId="20" fillId="0" borderId="1" xfId="1" applyFont="1" applyFill="1" applyBorder="1" applyAlignment="1" applyProtection="1">
      <alignment vertical="center" wrapText="1"/>
    </xf>
    <xf numFmtId="0" fontId="20" fillId="0" borderId="1" xfId="1" applyNumberFormat="1" applyFont="1" applyBorder="1" applyAlignment="1" applyProtection="1">
      <alignment horizontal="center" vertical="center" wrapText="1"/>
    </xf>
    <xf numFmtId="0" fontId="20" fillId="0" borderId="1" xfId="1" applyFont="1" applyFill="1" applyBorder="1" applyAlignment="1" applyProtection="1">
      <alignment horizontal="left" vertical="center" wrapText="1"/>
      <protection locked="0"/>
    </xf>
    <xf numFmtId="0" fontId="20" fillId="0" borderId="1" xfId="1" applyFont="1" applyBorder="1" applyAlignment="1" applyProtection="1">
      <alignment horizontal="center" vertical="center" wrapText="1"/>
      <protection locked="0"/>
    </xf>
    <xf numFmtId="0" fontId="20" fillId="0" borderId="1" xfId="1" applyFont="1" applyFill="1" applyBorder="1" applyAlignment="1" applyProtection="1">
      <alignment horizontal="center" vertical="center" wrapText="1"/>
      <protection locked="0"/>
    </xf>
    <xf numFmtId="0" fontId="20" fillId="0" borderId="5" xfId="1" applyFont="1" applyFill="1" applyBorder="1" applyAlignment="1" applyProtection="1">
      <alignment vertical="center" wrapText="1"/>
      <protection locked="0"/>
    </xf>
    <xf numFmtId="0" fontId="20" fillId="0" borderId="1" xfId="1" applyFont="1" applyFill="1" applyBorder="1" applyAlignment="1" applyProtection="1">
      <alignment vertical="center" wrapText="1"/>
      <protection locked="0"/>
    </xf>
    <xf numFmtId="0" fontId="20" fillId="0" borderId="1" xfId="1" applyFont="1" applyFill="1" applyBorder="1" applyAlignment="1" applyProtection="1">
      <alignment vertical="center"/>
      <protection locked="0"/>
    </xf>
    <xf numFmtId="0" fontId="2" fillId="3" borderId="5" xfId="1" applyFont="1" applyFill="1" applyBorder="1" applyAlignment="1">
      <alignment horizontal="center" vertical="center" wrapText="1"/>
    </xf>
    <xf numFmtId="0" fontId="2" fillId="0" borderId="0" xfId="1" applyFont="1" applyAlignment="1">
      <alignment vertical="center"/>
    </xf>
    <xf numFmtId="0" fontId="3" fillId="0" borderId="0" xfId="1" applyFont="1" applyBorder="1" applyAlignment="1">
      <alignment vertical="center"/>
    </xf>
    <xf numFmtId="0" fontId="3" fillId="0" borderId="0" xfId="1" applyFont="1" applyBorder="1" applyAlignment="1">
      <alignment horizontal="center" vertical="center"/>
    </xf>
    <xf numFmtId="0" fontId="2" fillId="0" borderId="0" xfId="1" applyFont="1" applyAlignment="1">
      <alignment horizontal="center" vertical="center"/>
    </xf>
    <xf numFmtId="0" fontId="3" fillId="0" borderId="0" xfId="1" applyFont="1" applyAlignment="1">
      <alignment vertical="center"/>
    </xf>
    <xf numFmtId="49" fontId="2" fillId="0" borderId="0" xfId="1" applyNumberFormat="1" applyFont="1" applyBorder="1" applyAlignment="1">
      <alignment horizontal="center" vertical="center"/>
    </xf>
    <xf numFmtId="49" fontId="2" fillId="0" borderId="0" xfId="1" applyNumberFormat="1" applyFont="1" applyBorder="1" applyAlignment="1">
      <alignment horizontal="left" vertical="center"/>
    </xf>
    <xf numFmtId="0" fontId="2" fillId="0" borderId="0" xfId="1" applyNumberFormat="1" applyFont="1" applyBorder="1" applyAlignment="1">
      <alignment horizontal="left" vertical="center" wrapText="1"/>
    </xf>
    <xf numFmtId="0" fontId="3" fillId="0" borderId="0" xfId="1" applyFont="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vertical="center"/>
    </xf>
    <xf numFmtId="0" fontId="2" fillId="0" borderId="1" xfId="1" applyFont="1" applyBorder="1" applyAlignment="1">
      <alignment vertical="center" wrapText="1"/>
    </xf>
    <xf numFmtId="0" fontId="5" fillId="0" borderId="0" xfId="1" applyFont="1" applyBorder="1" applyAlignment="1">
      <alignment horizontal="center" vertical="center"/>
    </xf>
    <xf numFmtId="0" fontId="7" fillId="0" borderId="20" xfId="1" applyFont="1" applyBorder="1" applyAlignment="1">
      <alignment horizontal="center" vertical="center" wrapText="1" readingOrder="1"/>
    </xf>
    <xf numFmtId="0" fontId="7" fillId="0" borderId="21" xfId="1" applyFont="1" applyBorder="1" applyAlignment="1">
      <alignment horizontal="left" vertical="center" wrapText="1" readingOrder="1"/>
    </xf>
    <xf numFmtId="0" fontId="8" fillId="5" borderId="21" xfId="1" applyFont="1" applyFill="1" applyBorder="1" applyAlignment="1">
      <alignment horizontal="center" vertical="center" wrapText="1" readingOrder="1"/>
    </xf>
    <xf numFmtId="0" fontId="8" fillId="6" borderId="21" xfId="1" applyFont="1" applyFill="1" applyBorder="1" applyAlignment="1">
      <alignment horizontal="center" vertical="center" wrapText="1" readingOrder="1"/>
    </xf>
    <xf numFmtId="0" fontId="9" fillId="0" borderId="0" xfId="1" applyFont="1" applyAlignment="1">
      <alignment horizontal="left" vertical="center" readingOrder="1"/>
    </xf>
    <xf numFmtId="0" fontId="10" fillId="0" borderId="0" xfId="1" applyFont="1" applyAlignment="1">
      <alignment horizontal="left" vertical="center" readingOrder="1"/>
    </xf>
    <xf numFmtId="0" fontId="11" fillId="0" borderId="0" xfId="1" applyFont="1" applyAlignment="1">
      <alignment horizontal="left" vertical="center" readingOrder="1"/>
    </xf>
    <xf numFmtId="0" fontId="12" fillId="0" borderId="0" xfId="1" applyFont="1" applyAlignment="1">
      <alignment horizontal="left" vertical="center" readingOrder="1"/>
    </xf>
    <xf numFmtId="0" fontId="3" fillId="2" borderId="2"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0" borderId="0" xfId="1" applyFont="1" applyBorder="1" applyAlignment="1">
      <alignment vertical="center" wrapText="1"/>
    </xf>
    <xf numFmtId="0" fontId="2" fillId="0" borderId="0" xfId="1" applyFont="1" applyFill="1" applyAlignment="1">
      <alignment horizontal="center" vertical="center"/>
    </xf>
    <xf numFmtId="0" fontId="2" fillId="0" borderId="0" xfId="1" applyFont="1" applyBorder="1" applyAlignment="1">
      <alignment horizontal="left" vertical="center"/>
    </xf>
    <xf numFmtId="0" fontId="3" fillId="2" borderId="6"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7" fillId="4" borderId="20" xfId="1" applyFont="1" applyFill="1" applyBorder="1" applyAlignment="1">
      <alignment horizontal="center" vertical="center" wrapText="1" readingOrder="1"/>
    </xf>
    <xf numFmtId="0" fontId="2" fillId="2" borderId="1" xfId="1" applyFont="1" applyFill="1" applyBorder="1" applyAlignment="1">
      <alignment horizontal="center" vertical="center" wrapText="1"/>
    </xf>
    <xf numFmtId="0" fontId="7" fillId="4" borderId="20" xfId="1" applyFont="1" applyFill="1" applyBorder="1" applyAlignment="1">
      <alignment horizontal="center" vertical="center" wrapText="1" readingOrder="1"/>
    </xf>
    <xf numFmtId="0" fontId="2" fillId="2" borderId="12"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3" borderId="1" xfId="1" applyFont="1" applyFill="1" applyBorder="1" applyAlignment="1" applyProtection="1">
      <alignment horizontal="center" vertical="center" wrapText="1"/>
      <protection locked="0"/>
    </xf>
    <xf numFmtId="0" fontId="1" fillId="3" borderId="1" xfId="1" applyFont="1" applyFill="1" applyBorder="1" applyAlignment="1" applyProtection="1">
      <alignment horizontal="center" vertical="center" wrapText="1"/>
      <protection locked="0"/>
    </xf>
    <xf numFmtId="0" fontId="22" fillId="0" borderId="1" xfId="1" applyNumberFormat="1" applyFont="1" applyBorder="1" applyAlignment="1" applyProtection="1">
      <alignment horizontal="center" vertical="center" wrapText="1"/>
    </xf>
    <xf numFmtId="0" fontId="5" fillId="0" borderId="1" xfId="1" applyFont="1" applyFill="1" applyBorder="1" applyAlignment="1" applyProtection="1">
      <alignment horizontal="justify" vertical="center" wrapText="1"/>
      <protection locked="0"/>
    </xf>
    <xf numFmtId="0" fontId="2" fillId="3" borderId="1" xfId="2" applyFont="1" applyFill="1" applyBorder="1" applyAlignment="1" applyProtection="1">
      <alignment horizontal="left" vertical="center" wrapText="1"/>
      <protection locked="0"/>
    </xf>
    <xf numFmtId="0" fontId="2" fillId="3" borderId="1"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7" fillId="4" borderId="20" xfId="1" applyFont="1" applyFill="1" applyBorder="1" applyAlignment="1">
      <alignment horizontal="center" vertical="center" wrapText="1" readingOrder="1"/>
    </xf>
    <xf numFmtId="0" fontId="2" fillId="3" borderId="1" xfId="1" applyFont="1" applyFill="1" applyBorder="1" applyAlignment="1" applyProtection="1">
      <alignment vertical="center" wrapText="1"/>
      <protection locked="0"/>
    </xf>
    <xf numFmtId="0" fontId="2" fillId="3" borderId="1" xfId="1" applyFont="1" applyFill="1" applyBorder="1" applyAlignment="1" applyProtection="1">
      <alignment horizontal="justify" vertical="center" wrapText="1"/>
      <protection locked="0"/>
    </xf>
    <xf numFmtId="0" fontId="22" fillId="0" borderId="1" xfId="1" applyNumberFormat="1" applyFont="1" applyBorder="1" applyAlignment="1" applyProtection="1">
      <alignment horizontal="left" vertical="center" wrapText="1"/>
    </xf>
    <xf numFmtId="0" fontId="23" fillId="0" borderId="0" xfId="1" applyNumberFormat="1" applyFont="1" applyBorder="1" applyAlignment="1" applyProtection="1">
      <alignment horizontal="center" vertical="center" wrapText="1"/>
    </xf>
    <xf numFmtId="0" fontId="23" fillId="3" borderId="0" xfId="1" applyFont="1" applyFill="1" applyBorder="1" applyAlignment="1" applyProtection="1">
      <alignment horizontal="center" vertical="center" wrapText="1"/>
    </xf>
    <xf numFmtId="0" fontId="23" fillId="0" borderId="0" xfId="1" applyFont="1" applyFill="1" applyBorder="1" applyAlignment="1" applyProtection="1">
      <alignment horizontal="center" vertical="center" wrapText="1"/>
    </xf>
    <xf numFmtId="0" fontId="23" fillId="0" borderId="0" xfId="1" applyFont="1" applyFill="1" applyBorder="1" applyAlignment="1" applyProtection="1">
      <alignment horizontal="left" vertical="center" wrapText="1"/>
      <protection locked="0"/>
    </xf>
    <xf numFmtId="0" fontId="24" fillId="0" borderId="0" xfId="0" applyFont="1" applyFill="1" applyBorder="1" applyAlignment="1" applyProtection="1">
      <alignment horizontal="center" vertical="center" wrapText="1"/>
      <protection locked="0"/>
    </xf>
    <xf numFmtId="0" fontId="23" fillId="0" borderId="0" xfId="1" applyFont="1" applyBorder="1" applyAlignment="1" applyProtection="1">
      <alignment horizontal="center" vertical="center" wrapText="1"/>
      <protection locked="0"/>
    </xf>
    <xf numFmtId="0" fontId="23" fillId="0" borderId="0" xfId="1" applyFont="1" applyFill="1" applyBorder="1" applyAlignment="1" applyProtection="1">
      <alignment horizontal="center" vertical="center" wrapText="1"/>
      <protection locked="0"/>
    </xf>
    <xf numFmtId="164" fontId="23" fillId="0" borderId="0" xfId="1" applyNumberFormat="1" applyFont="1" applyFill="1" applyBorder="1" applyAlignment="1" applyProtection="1">
      <alignment horizontal="center" vertical="center" wrapText="1"/>
      <protection locked="0"/>
    </xf>
    <xf numFmtId="0" fontId="23" fillId="0" borderId="0" xfId="1" applyFont="1" applyFill="1" applyBorder="1" applyAlignment="1" applyProtection="1">
      <alignment horizontal="justify" vertical="center" wrapText="1"/>
      <protection locked="0"/>
    </xf>
    <xf numFmtId="0" fontId="23" fillId="0" borderId="0" xfId="1" applyFont="1" applyFill="1" applyBorder="1" applyAlignment="1" applyProtection="1">
      <alignment vertical="center"/>
      <protection locked="0"/>
    </xf>
    <xf numFmtId="0" fontId="14" fillId="0" borderId="0" xfId="1" applyFont="1" applyFill="1" applyBorder="1" applyAlignment="1" applyProtection="1">
      <alignment horizontal="center" vertical="center" wrapText="1"/>
    </xf>
    <xf numFmtId="0" fontId="2" fillId="0" borderId="1" xfId="1" applyFont="1" applyBorder="1" applyAlignment="1">
      <alignment horizontal="center" vertical="center"/>
    </xf>
    <xf numFmtId="0" fontId="2" fillId="2" borderId="1" xfId="1" applyFont="1" applyFill="1" applyBorder="1" applyAlignment="1">
      <alignment horizontal="center" vertical="center" wrapText="1"/>
    </xf>
    <xf numFmtId="0" fontId="2" fillId="0" borderId="1" xfId="1" applyFont="1" applyBorder="1" applyAlignment="1">
      <alignment horizontal="center" vertical="center"/>
    </xf>
    <xf numFmtId="0" fontId="14" fillId="3" borderId="1" xfId="1" applyNumberFormat="1" applyFont="1" applyFill="1" applyBorder="1" applyAlignment="1" applyProtection="1">
      <alignment horizontal="center" vertical="top" wrapText="1"/>
    </xf>
    <xf numFmtId="0" fontId="16" fillId="0" borderId="0" xfId="1" applyFont="1" applyAlignment="1" applyProtection="1">
      <alignment vertical="center"/>
    </xf>
    <xf numFmtId="0" fontId="14" fillId="0" borderId="1" xfId="1" applyFont="1" applyBorder="1" applyAlignment="1" applyProtection="1">
      <alignment horizontal="center" vertical="center" wrapText="1"/>
    </xf>
    <xf numFmtId="0" fontId="14" fillId="0" borderId="1" xfId="1" applyNumberFormat="1" applyFont="1" applyBorder="1" applyAlignment="1" applyProtection="1">
      <alignment horizontal="left" vertical="center" wrapText="1"/>
    </xf>
    <xf numFmtId="0" fontId="14" fillId="0" borderId="1" xfId="1" applyNumberFormat="1" applyFont="1" applyBorder="1" applyAlignment="1" applyProtection="1">
      <alignment horizontal="left" vertical="center" wrapText="1"/>
    </xf>
    <xf numFmtId="0" fontId="14" fillId="0" borderId="1" xfId="1" applyNumberFormat="1" applyFont="1" applyBorder="1" applyAlignment="1" applyProtection="1">
      <alignment horizontal="left" vertical="center" wrapText="1"/>
    </xf>
    <xf numFmtId="0" fontId="14" fillId="0" borderId="1" xfId="1" applyNumberFormat="1" applyFont="1" applyBorder="1" applyAlignment="1" applyProtection="1">
      <alignment horizontal="left" vertical="center" wrapText="1"/>
    </xf>
    <xf numFmtId="0" fontId="14" fillId="0" borderId="1" xfId="1" applyNumberFormat="1" applyFont="1" applyBorder="1" applyAlignment="1" applyProtection="1">
      <alignment horizontal="center" vertical="center" wrapText="1"/>
    </xf>
    <xf numFmtId="0" fontId="14" fillId="3" borderId="1" xfId="1" applyFont="1" applyFill="1" applyBorder="1" applyAlignment="1" applyProtection="1">
      <alignment horizontal="center" vertical="center" wrapText="1"/>
    </xf>
    <xf numFmtId="0" fontId="14" fillId="3" borderId="1" xfId="1" applyFont="1" applyFill="1" applyBorder="1" applyAlignment="1" applyProtection="1">
      <alignment horizontal="center" vertical="center" wrapText="1"/>
    </xf>
    <xf numFmtId="0" fontId="14" fillId="0" borderId="1" xfId="1" applyFont="1" applyFill="1" applyBorder="1" applyAlignment="1" applyProtection="1">
      <alignment horizontal="center" vertical="center" wrapText="1"/>
    </xf>
    <xf numFmtId="0" fontId="14" fillId="6" borderId="1" xfId="1" applyFont="1" applyFill="1" applyBorder="1" applyAlignment="1" applyProtection="1">
      <alignment horizontal="center" vertical="center" wrapText="1"/>
    </xf>
    <xf numFmtId="0" fontId="17" fillId="0" borderId="14" xfId="2" applyFont="1" applyBorder="1" applyAlignment="1" applyProtection="1">
      <alignment horizontal="justify" vertical="center" wrapText="1"/>
      <protection locked="0"/>
    </xf>
    <xf numFmtId="0" fontId="14" fillId="0" borderId="1" xfId="1" applyFont="1" applyFill="1" applyBorder="1" applyAlignment="1" applyProtection="1">
      <alignment horizontal="center" vertical="center" wrapText="1"/>
      <protection locked="0"/>
    </xf>
    <xf numFmtId="0" fontId="17" fillId="0" borderId="1" xfId="1" applyFont="1" applyFill="1" applyBorder="1" applyAlignment="1">
      <alignment vertical="center" wrapText="1"/>
    </xf>
    <xf numFmtId="0" fontId="14" fillId="0" borderId="1" xfId="1" applyFont="1" applyFill="1" applyBorder="1" applyAlignment="1" applyProtection="1">
      <alignment horizontal="center" vertical="center" wrapText="1"/>
      <protection locked="0"/>
    </xf>
    <xf numFmtId="0" fontId="14" fillId="0" borderId="1" xfId="1" applyNumberFormat="1" applyFont="1" applyBorder="1" applyAlignment="1" applyProtection="1">
      <alignment horizontal="left" vertical="center" wrapText="1"/>
    </xf>
    <xf numFmtId="0" fontId="14" fillId="0" borderId="1" xfId="1" applyNumberFormat="1" applyFont="1" applyBorder="1" applyAlignment="1" applyProtection="1">
      <alignment horizontal="left" vertical="center" wrapText="1"/>
    </xf>
    <xf numFmtId="0" fontId="14" fillId="0" borderId="1" xfId="1" applyNumberFormat="1" applyFont="1" applyBorder="1" applyAlignment="1" applyProtection="1">
      <alignment horizontal="left" vertical="center" wrapText="1"/>
    </xf>
    <xf numFmtId="0" fontId="14" fillId="0" borderId="1" xfId="1" applyNumberFormat="1" applyFont="1" applyBorder="1" applyAlignment="1" applyProtection="1">
      <alignment horizontal="left" vertical="center" wrapText="1"/>
    </xf>
    <xf numFmtId="0" fontId="14" fillId="0" borderId="1" xfId="1" applyNumberFormat="1" applyFont="1" applyBorder="1" applyAlignment="1" applyProtection="1">
      <alignment horizontal="center" vertical="center" wrapText="1"/>
    </xf>
    <xf numFmtId="0" fontId="14" fillId="3" borderId="1" xfId="1" applyFont="1" applyFill="1" applyBorder="1" applyAlignment="1" applyProtection="1">
      <alignment horizontal="center" vertical="center" wrapText="1"/>
    </xf>
    <xf numFmtId="0" fontId="14" fillId="3" borderId="1" xfId="1" applyFont="1" applyFill="1" applyBorder="1" applyAlignment="1" applyProtection="1">
      <alignment horizontal="center" vertical="center" wrapText="1"/>
    </xf>
    <xf numFmtId="0" fontId="14" fillId="0" borderId="1" xfId="1" applyFont="1" applyFill="1" applyBorder="1" applyAlignment="1" applyProtection="1">
      <alignment horizontal="center" vertical="center" wrapText="1"/>
    </xf>
    <xf numFmtId="0" fontId="14" fillId="0" borderId="1" xfId="1" applyFont="1" applyFill="1" applyBorder="1" applyAlignment="1" applyProtection="1">
      <alignment horizontal="center" vertical="center" wrapText="1"/>
    </xf>
    <xf numFmtId="0" fontId="14" fillId="3" borderId="1" xfId="1" applyFont="1" applyFill="1" applyBorder="1" applyAlignment="1" applyProtection="1">
      <alignment horizontal="center" vertical="center" wrapText="1"/>
    </xf>
    <xf numFmtId="0" fontId="14" fillId="6" borderId="1" xfId="1" applyFont="1" applyFill="1" applyBorder="1" applyAlignment="1" applyProtection="1">
      <alignment horizontal="center" vertical="center" wrapText="1"/>
    </xf>
    <xf numFmtId="0" fontId="14" fillId="3" borderId="1" xfId="1" applyFont="1" applyFill="1" applyBorder="1" applyAlignment="1" applyProtection="1">
      <alignment horizontal="justify" vertical="center" wrapText="1"/>
      <protection locked="0"/>
    </xf>
    <xf numFmtId="0" fontId="14" fillId="6" borderId="1" xfId="1" applyFont="1" applyFill="1" applyBorder="1" applyAlignment="1" applyProtection="1">
      <alignment horizontal="center" vertical="center" wrapText="1"/>
    </xf>
    <xf numFmtId="0" fontId="14" fillId="3" borderId="1" xfId="1" applyFont="1" applyFill="1" applyBorder="1" applyAlignment="1" applyProtection="1">
      <alignment horizontal="center" vertical="center" wrapText="1"/>
    </xf>
    <xf numFmtId="0" fontId="14" fillId="0" borderId="1" xfId="1" applyFont="1" applyFill="1" applyBorder="1" applyAlignment="1" applyProtection="1">
      <alignment horizontal="center" vertical="center" wrapText="1"/>
      <protection locked="0"/>
    </xf>
    <xf numFmtId="0" fontId="14" fillId="0" borderId="1" xfId="1" applyFont="1" applyFill="1" applyBorder="1" applyAlignment="1" applyProtection="1">
      <alignment horizontal="center" vertical="center" wrapText="1"/>
      <protection locked="0"/>
    </xf>
    <xf numFmtId="0" fontId="14" fillId="0" borderId="1" xfId="1" applyFont="1" applyFill="1" applyBorder="1" applyAlignment="1" applyProtection="1">
      <alignment horizontal="center" vertical="center" wrapText="1"/>
      <protection locked="0"/>
    </xf>
    <xf numFmtId="0" fontId="2" fillId="0" borderId="1" xfId="1" applyFont="1" applyFill="1" applyBorder="1" applyAlignment="1">
      <alignment horizontal="center" vertical="center"/>
    </xf>
    <xf numFmtId="0" fontId="14" fillId="3" borderId="1" xfId="1" applyFont="1" applyFill="1" applyBorder="1" applyAlignment="1" applyProtection="1">
      <alignment horizontal="justify" vertical="center" wrapText="1"/>
      <protection locked="0"/>
    </xf>
    <xf numFmtId="0" fontId="14" fillId="0" borderId="5" xfId="1" applyFont="1" applyFill="1" applyBorder="1" applyAlignment="1" applyProtection="1">
      <alignment horizontal="left" vertical="center" wrapText="1"/>
      <protection locked="0"/>
    </xf>
    <xf numFmtId="0" fontId="3" fillId="2" borderId="6"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7" fillId="4" borderId="20" xfId="1" applyFont="1" applyFill="1" applyBorder="1" applyAlignment="1">
      <alignment horizontal="center" vertical="center" wrapText="1" readingOrder="1"/>
    </xf>
    <xf numFmtId="0" fontId="2" fillId="0" borderId="13" xfId="1" applyFont="1" applyBorder="1" applyAlignment="1">
      <alignment vertical="center"/>
    </xf>
    <xf numFmtId="0" fontId="2" fillId="0" borderId="13" xfId="1" applyFont="1" applyBorder="1" applyAlignment="1">
      <alignment vertical="center" wrapText="1"/>
    </xf>
    <xf numFmtId="0" fontId="14" fillId="10" borderId="1" xfId="1" applyFont="1" applyFill="1" applyBorder="1" applyAlignment="1" applyProtection="1">
      <alignment horizontal="center" vertical="center" wrapText="1"/>
    </xf>
    <xf numFmtId="0" fontId="14" fillId="3" borderId="1" xfId="1" applyNumberFormat="1" applyFont="1" applyFill="1" applyBorder="1" applyAlignment="1" applyProtection="1">
      <alignment horizontal="left" vertical="center" wrapText="1"/>
    </xf>
    <xf numFmtId="0" fontId="14" fillId="3" borderId="1" xfId="1" applyNumberFormat="1" applyFont="1" applyFill="1" applyBorder="1" applyAlignment="1" applyProtection="1">
      <alignment horizontal="center" vertical="center" wrapText="1"/>
    </xf>
    <xf numFmtId="0" fontId="14" fillId="3" borderId="1" xfId="1" applyFont="1" applyFill="1" applyBorder="1" applyAlignment="1" applyProtection="1">
      <alignment horizontal="left" vertical="center" wrapText="1"/>
      <protection locked="0"/>
    </xf>
    <xf numFmtId="164" fontId="14" fillId="3" borderId="5" xfId="1" applyNumberFormat="1" applyFont="1" applyFill="1" applyBorder="1" applyAlignment="1" applyProtection="1">
      <alignment horizontal="center" vertical="center" wrapText="1"/>
      <protection locked="0"/>
    </xf>
    <xf numFmtId="0" fontId="14" fillId="3" borderId="1" xfId="1" applyFont="1" applyFill="1" applyBorder="1" applyAlignment="1" applyProtection="1">
      <alignment vertical="center" wrapText="1"/>
      <protection locked="0"/>
    </xf>
    <xf numFmtId="0" fontId="14" fillId="0" borderId="1" xfId="1" applyFont="1" applyBorder="1" applyAlignment="1" applyProtection="1">
      <alignment horizontal="left" vertical="center" wrapText="1"/>
    </xf>
    <xf numFmtId="0" fontId="14" fillId="0" borderId="1" xfId="1" applyFont="1" applyBorder="1" applyAlignment="1" applyProtection="1">
      <alignment horizontal="center" vertical="center" wrapText="1"/>
    </xf>
    <xf numFmtId="0" fontId="14" fillId="0" borderId="1" xfId="1" applyFont="1" applyBorder="1" applyAlignment="1" applyProtection="1">
      <alignment horizontal="center" vertical="center"/>
    </xf>
    <xf numFmtId="0" fontId="14" fillId="0" borderId="1" xfId="1" applyFont="1" applyFill="1" applyBorder="1" applyAlignment="1" applyProtection="1">
      <alignment horizontal="center" vertical="center"/>
    </xf>
    <xf numFmtId="0" fontId="14" fillId="11" borderId="1" xfId="1" applyFont="1" applyFill="1" applyBorder="1" applyAlignment="1" applyProtection="1">
      <alignment horizontal="center" vertical="center" wrapText="1"/>
    </xf>
    <xf numFmtId="0" fontId="14" fillId="0" borderId="1" xfId="1" applyFont="1" applyFill="1" applyBorder="1" applyAlignment="1" applyProtection="1">
      <alignment horizontal="left" vertical="center" wrapText="1"/>
      <protection locked="0"/>
    </xf>
    <xf numFmtId="0" fontId="14" fillId="0" borderId="1" xfId="1" applyFont="1" applyBorder="1" applyAlignment="1" applyProtection="1">
      <alignment vertical="center" wrapText="1"/>
      <protection locked="0"/>
    </xf>
    <xf numFmtId="0" fontId="2" fillId="0" borderId="13" xfId="1" applyFont="1" applyBorder="1" applyAlignment="1">
      <alignment horizontal="center" vertical="center"/>
    </xf>
    <xf numFmtId="0" fontId="2" fillId="0" borderId="13" xfId="1" applyFont="1" applyFill="1" applyBorder="1" applyAlignment="1">
      <alignment horizontal="center" vertical="center"/>
    </xf>
    <xf numFmtId="0" fontId="7" fillId="4" borderId="1" xfId="1" applyFont="1" applyFill="1" applyBorder="1" applyAlignment="1">
      <alignment horizontal="center" vertical="center" wrapText="1" readingOrder="1"/>
    </xf>
    <xf numFmtId="0" fontId="17" fillId="3" borderId="6" xfId="0" applyFont="1" applyFill="1" applyBorder="1" applyAlignment="1" applyProtection="1">
      <alignment horizontal="left" vertical="center" wrapText="1"/>
      <protection locked="0"/>
    </xf>
    <xf numFmtId="0" fontId="14" fillId="0" borderId="1" xfId="0" applyFont="1" applyBorder="1" applyAlignment="1">
      <alignment horizontal="left" vertical="center" wrapText="1"/>
    </xf>
    <xf numFmtId="0" fontId="7" fillId="0" borderId="28" xfId="1" applyFont="1" applyBorder="1" applyAlignment="1">
      <alignment horizontal="center" vertical="center" wrapText="1"/>
    </xf>
    <xf numFmtId="0" fontId="8" fillId="5" borderId="27" xfId="1" applyFont="1" applyFill="1" applyBorder="1" applyAlignment="1">
      <alignment horizontal="center" vertical="center" wrapText="1" readingOrder="1"/>
    </xf>
    <xf numFmtId="0" fontId="8" fillId="6" borderId="27" xfId="1" applyFont="1" applyFill="1" applyBorder="1" applyAlignment="1">
      <alignment horizontal="center" vertical="center" wrapText="1" readingOrder="1"/>
    </xf>
    <xf numFmtId="0" fontId="8" fillId="7" borderId="27" xfId="1" applyFont="1" applyFill="1" applyBorder="1" applyAlignment="1">
      <alignment horizontal="center" vertical="center" wrapText="1" readingOrder="1"/>
    </xf>
    <xf numFmtId="0" fontId="17" fillId="0" borderId="1" xfId="2" applyFont="1" applyFill="1" applyBorder="1" applyAlignment="1" applyProtection="1">
      <alignment vertical="center" wrapText="1"/>
      <protection locked="0"/>
    </xf>
    <xf numFmtId="0" fontId="2" fillId="0" borderId="0" xfId="1" applyFont="1" applyBorder="1" applyAlignment="1">
      <alignment horizontal="center" vertical="center"/>
    </xf>
    <xf numFmtId="0" fontId="14" fillId="0" borderId="1" xfId="1" applyNumberFormat="1" applyFont="1" applyBorder="1" applyAlignment="1" applyProtection="1">
      <alignment horizontal="center" vertical="center" wrapText="1"/>
    </xf>
    <xf numFmtId="0" fontId="14" fillId="3" borderId="1" xfId="1" applyFont="1" applyFill="1" applyBorder="1" applyAlignment="1" applyProtection="1">
      <alignment horizontal="center" vertical="center" wrapText="1"/>
    </xf>
    <xf numFmtId="0" fontId="14" fillId="0" borderId="1" xfId="1" applyFont="1" applyFill="1" applyBorder="1" applyAlignment="1" applyProtection="1">
      <alignment horizontal="center" vertical="center" wrapText="1"/>
    </xf>
    <xf numFmtId="0" fontId="14" fillId="6" borderId="1" xfId="1" applyFont="1" applyFill="1" applyBorder="1" applyAlignment="1" applyProtection="1">
      <alignment horizontal="center" vertical="center" wrapText="1"/>
    </xf>
    <xf numFmtId="0" fontId="14" fillId="0" borderId="1" xfId="1" applyFont="1" applyBorder="1" applyAlignment="1" applyProtection="1">
      <alignment horizontal="center" vertical="center" wrapText="1"/>
      <protection locked="0"/>
    </xf>
    <xf numFmtId="0" fontId="14" fillId="0" borderId="1" xfId="1" applyFont="1" applyFill="1" applyBorder="1" applyAlignment="1" applyProtection="1">
      <alignment horizontal="center" vertical="center" wrapText="1"/>
      <protection locked="0"/>
    </xf>
    <xf numFmtId="0" fontId="14" fillId="0" borderId="1" xfId="1" applyNumberFormat="1" applyFont="1" applyBorder="1" applyAlignment="1" applyProtection="1">
      <alignment horizontal="left" vertical="center" wrapText="1"/>
    </xf>
    <xf numFmtId="164" fontId="14" fillId="0" borderId="5" xfId="1" applyNumberFormat="1" applyFont="1" applyFill="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0" fontId="20" fillId="0" borderId="1" xfId="1" applyFont="1" applyFill="1" applyBorder="1" applyAlignment="1" applyProtection="1">
      <alignment horizontal="center" vertical="center" wrapText="1"/>
    </xf>
    <xf numFmtId="0" fontId="20" fillId="6" borderId="1" xfId="1" applyFont="1" applyFill="1" applyBorder="1" applyAlignment="1" applyProtection="1">
      <alignment horizontal="center" vertical="center" wrapText="1"/>
    </xf>
    <xf numFmtId="0" fontId="20" fillId="3" borderId="1" xfId="1" applyFont="1" applyFill="1" applyBorder="1" applyAlignment="1" applyProtection="1">
      <alignment horizontal="center" vertical="center" wrapText="1"/>
    </xf>
    <xf numFmtId="164" fontId="20" fillId="0" borderId="5" xfId="1" applyNumberFormat="1" applyFont="1" applyFill="1" applyBorder="1" applyAlignment="1" applyProtection="1">
      <alignment horizontal="center" vertical="center" wrapText="1"/>
      <protection locked="0"/>
    </xf>
    <xf numFmtId="0" fontId="3" fillId="2" borderId="6"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7" fillId="4" borderId="20" xfId="1" applyFont="1" applyFill="1" applyBorder="1" applyAlignment="1">
      <alignment horizontal="center" vertical="center" wrapText="1" readingOrder="1"/>
    </xf>
    <xf numFmtId="0" fontId="2" fillId="2" borderId="1" xfId="1" applyFont="1" applyFill="1" applyBorder="1" applyAlignment="1">
      <alignment horizontal="center" vertical="center" wrapText="1"/>
    </xf>
    <xf numFmtId="0" fontId="7" fillId="4" borderId="20" xfId="1" applyFont="1" applyFill="1" applyBorder="1" applyAlignment="1">
      <alignment horizontal="center" vertical="center" wrapText="1" readingOrder="1"/>
    </xf>
    <xf numFmtId="0" fontId="2" fillId="2" borderId="12"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3" fillId="0" borderId="1" xfId="1" applyNumberFormat="1" applyFont="1" applyBorder="1" applyAlignment="1" applyProtection="1">
      <alignment horizontal="left" vertical="center" wrapText="1"/>
    </xf>
    <xf numFmtId="0" fontId="23" fillId="0" borderId="1" xfId="1" applyNumberFormat="1" applyFont="1" applyBorder="1" applyAlignment="1" applyProtection="1">
      <alignment horizontal="left" vertical="center" wrapText="1"/>
    </xf>
    <xf numFmtId="0" fontId="23" fillId="0" borderId="1" xfId="1" applyNumberFormat="1" applyFont="1" applyBorder="1" applyAlignment="1" applyProtection="1">
      <alignment horizontal="center" vertical="center" wrapText="1"/>
    </xf>
    <xf numFmtId="0" fontId="23" fillId="3" borderId="1" xfId="1" applyFont="1" applyFill="1" applyBorder="1" applyAlignment="1" applyProtection="1">
      <alignment horizontal="center" vertical="center" wrapText="1"/>
    </xf>
    <xf numFmtId="0" fontId="23" fillId="3" borderId="1" xfId="1" applyFont="1" applyFill="1" applyBorder="1" applyAlignment="1" applyProtection="1">
      <alignment horizontal="center" vertical="center" wrapText="1"/>
    </xf>
    <xf numFmtId="0" fontId="23" fillId="0" borderId="1" xfId="1" applyFont="1" applyFill="1" applyBorder="1" applyAlignment="1" applyProtection="1">
      <alignment horizontal="center" vertical="center" wrapText="1"/>
    </xf>
    <xf numFmtId="0" fontId="23" fillId="0" borderId="1" xfId="1" applyFont="1" applyFill="1" applyBorder="1" applyAlignment="1" applyProtection="1">
      <alignment horizontal="center" vertical="center" wrapText="1"/>
    </xf>
    <xf numFmtId="0" fontId="24" fillId="0" borderId="14" xfId="4" applyFont="1" applyBorder="1" applyAlignment="1" applyProtection="1">
      <alignment horizontal="justify" vertical="center" wrapText="1"/>
      <protection locked="0"/>
    </xf>
    <xf numFmtId="0" fontId="2" fillId="2" borderId="10"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24" fillId="0" borderId="16" xfId="4" applyFont="1" applyBorder="1" applyAlignment="1" applyProtection="1">
      <alignment horizontal="justify" vertical="center" wrapText="1"/>
      <protection locked="0"/>
    </xf>
    <xf numFmtId="0" fontId="23" fillId="6" borderId="1" xfId="1" applyFont="1" applyFill="1" applyBorder="1" applyAlignment="1" applyProtection="1">
      <alignment horizontal="center" vertical="center" wrapText="1"/>
    </xf>
    <xf numFmtId="0" fontId="23" fillId="0" borderId="1" xfId="1" applyFont="1" applyBorder="1" applyAlignment="1" applyProtection="1">
      <alignment horizontal="center" vertical="center" wrapText="1"/>
      <protection locked="0"/>
    </xf>
    <xf numFmtId="0" fontId="23" fillId="0" borderId="1" xfId="1" applyFont="1" applyFill="1" applyBorder="1" applyAlignment="1" applyProtection="1">
      <alignment horizontal="center" vertical="center" wrapText="1"/>
      <protection locked="0"/>
    </xf>
    <xf numFmtId="0" fontId="23" fillId="0" borderId="1" xfId="1" applyFont="1" applyFill="1" applyBorder="1" applyAlignment="1" applyProtection="1">
      <alignment horizontal="center" vertical="center" wrapText="1"/>
      <protection locked="0"/>
    </xf>
    <xf numFmtId="164" fontId="23" fillId="0" borderId="5" xfId="1" applyNumberFormat="1" applyFont="1" applyFill="1" applyBorder="1" applyAlignment="1" applyProtection="1">
      <alignment horizontal="center" vertical="center" wrapText="1"/>
      <protection locked="0"/>
    </xf>
    <xf numFmtId="164" fontId="23" fillId="0" borderId="5" xfId="1" applyNumberFormat="1" applyFont="1" applyFill="1" applyBorder="1" applyAlignment="1" applyProtection="1">
      <alignment horizontal="center" vertical="center" wrapText="1"/>
      <protection locked="0"/>
    </xf>
    <xf numFmtId="0" fontId="23" fillId="0" borderId="5" xfId="1" applyFont="1" applyFill="1" applyBorder="1" applyAlignment="1" applyProtection="1">
      <alignment horizontal="left" vertical="center" wrapText="1"/>
      <protection locked="0"/>
    </xf>
    <xf numFmtId="0" fontId="2" fillId="2" borderId="1" xfId="1" applyFont="1" applyFill="1" applyBorder="1" applyAlignment="1">
      <alignment horizontal="center" vertical="center" wrapText="1"/>
    </xf>
    <xf numFmtId="0" fontId="7" fillId="4" borderId="20" xfId="1" applyFont="1" applyFill="1" applyBorder="1" applyAlignment="1">
      <alignment horizontal="center" vertical="center" wrapText="1" readingOrder="1"/>
    </xf>
    <xf numFmtId="0" fontId="2" fillId="2" borderId="12"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3" fillId="0" borderId="1" xfId="1" applyNumberFormat="1" applyFont="1" applyBorder="1" applyAlignment="1" applyProtection="1">
      <alignment horizontal="left" vertical="center" wrapText="1"/>
    </xf>
    <xf numFmtId="0" fontId="23" fillId="0" borderId="1" xfId="1" applyFont="1" applyBorder="1" applyAlignment="1" applyProtection="1">
      <alignment horizontal="center" vertical="center" wrapText="1"/>
      <protection locked="0"/>
    </xf>
    <xf numFmtId="0" fontId="23" fillId="0" borderId="1" xfId="1" applyNumberFormat="1" applyFont="1" applyBorder="1" applyAlignment="1" applyProtection="1">
      <alignment horizontal="center" vertical="center" wrapText="1"/>
    </xf>
    <xf numFmtId="0" fontId="23" fillId="3" borderId="1" xfId="1" applyFont="1" applyFill="1" applyBorder="1" applyAlignment="1" applyProtection="1">
      <alignment horizontal="center" vertical="center" wrapText="1"/>
    </xf>
    <xf numFmtId="0" fontId="23" fillId="0" borderId="1" xfId="1" applyFont="1" applyFill="1" applyBorder="1" applyAlignment="1" applyProtection="1">
      <alignment horizontal="center" vertical="center" wrapText="1"/>
    </xf>
    <xf numFmtId="0" fontId="23" fillId="6" borderId="1" xfId="1" applyFont="1" applyFill="1" applyBorder="1" applyAlignment="1" applyProtection="1">
      <alignment horizontal="center" vertical="center" wrapText="1"/>
    </xf>
    <xf numFmtId="0" fontId="23" fillId="0" borderId="1" xfId="1" applyFont="1" applyFill="1" applyBorder="1" applyAlignment="1" applyProtection="1">
      <alignment horizontal="center" vertical="center" wrapText="1"/>
      <protection locked="0"/>
    </xf>
    <xf numFmtId="0" fontId="23" fillId="0" borderId="1" xfId="1" applyFont="1" applyFill="1" applyBorder="1" applyAlignment="1" applyProtection="1">
      <alignment vertical="center" wrapText="1"/>
      <protection locked="0"/>
    </xf>
    <xf numFmtId="0" fontId="23" fillId="3" borderId="1" xfId="1" applyFont="1" applyFill="1" applyBorder="1" applyAlignment="1" applyProtection="1">
      <alignment horizontal="center" vertical="center" wrapText="1"/>
      <protection locked="0"/>
    </xf>
    <xf numFmtId="0" fontId="23" fillId="0" borderId="1" xfId="1" applyNumberFormat="1" applyFont="1" applyBorder="1" applyAlignment="1" applyProtection="1">
      <alignment horizontal="justify" vertical="center" wrapText="1"/>
    </xf>
    <xf numFmtId="0" fontId="4" fillId="0" borderId="0" xfId="1" applyFont="1" applyFill="1" applyBorder="1" applyAlignment="1">
      <alignment horizontal="left" vertical="center" wrapText="1"/>
    </xf>
    <xf numFmtId="0" fontId="2" fillId="0" borderId="0" xfId="1" applyNumberFormat="1" applyFont="1" applyBorder="1" applyAlignment="1">
      <alignment horizontal="left" vertical="top" wrapText="1"/>
    </xf>
    <xf numFmtId="0" fontId="3" fillId="2" borderId="0" xfId="1" applyFont="1" applyFill="1" applyBorder="1" applyAlignment="1">
      <alignment horizontal="center" vertical="center" wrapText="1"/>
    </xf>
    <xf numFmtId="0" fontId="20" fillId="0" borderId="0" xfId="1" applyFont="1" applyFill="1" applyBorder="1" applyAlignment="1" applyProtection="1">
      <alignment vertical="center"/>
      <protection locked="0"/>
    </xf>
    <xf numFmtId="0" fontId="2" fillId="0" borderId="6" xfId="1" applyFont="1" applyBorder="1" applyAlignment="1">
      <alignment vertical="center"/>
    </xf>
    <xf numFmtId="0" fontId="2" fillId="2" borderId="1" xfId="1" applyFont="1" applyFill="1" applyBorder="1" applyAlignment="1">
      <alignment horizontal="center" vertical="center" wrapText="1"/>
    </xf>
    <xf numFmtId="0" fontId="2" fillId="0" borderId="1" xfId="1" applyFont="1" applyBorder="1" applyAlignment="1">
      <alignment horizontal="center" vertical="center"/>
    </xf>
    <xf numFmtId="0" fontId="2" fillId="2" borderId="1"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3" fillId="2" borderId="1" xfId="1" applyFont="1" applyFill="1" applyBorder="1" applyAlignment="1">
      <alignment horizontal="center" vertical="center" wrapText="1"/>
    </xf>
    <xf numFmtId="164" fontId="14" fillId="0" borderId="1" xfId="1" applyNumberFormat="1" applyFont="1" applyFill="1" applyBorder="1" applyAlignment="1" applyProtection="1">
      <alignment horizontal="center" vertical="center" wrapText="1"/>
      <protection locked="0"/>
    </xf>
    <xf numFmtId="0" fontId="23" fillId="0" borderId="1" xfId="1" applyFont="1" applyFill="1" applyBorder="1" applyAlignment="1" applyProtection="1">
      <alignment horizontal="left" vertical="top" wrapText="1"/>
      <protection locked="0"/>
    </xf>
    <xf numFmtId="0" fontId="23" fillId="3" borderId="1" xfId="0" applyFont="1" applyFill="1" applyBorder="1" applyAlignment="1" applyProtection="1">
      <alignment horizontal="center" vertical="center" wrapText="1"/>
      <protection locked="0"/>
    </xf>
    <xf numFmtId="0" fontId="23" fillId="3" borderId="1" xfId="1" applyFont="1" applyFill="1" applyBorder="1" applyAlignment="1">
      <alignment horizontal="left" vertical="center" wrapText="1"/>
    </xf>
    <xf numFmtId="0" fontId="7" fillId="0" borderId="20" xfId="1" applyFont="1" applyBorder="1" applyAlignment="1">
      <alignment horizontal="left" vertical="center" wrapText="1" readingOrder="1"/>
    </xf>
    <xf numFmtId="0" fontId="8" fillId="5" borderId="20" xfId="1" applyFont="1" applyFill="1" applyBorder="1" applyAlignment="1">
      <alignment horizontal="center" vertical="center" wrapText="1" readingOrder="1"/>
    </xf>
    <xf numFmtId="0" fontId="8" fillId="6" borderId="20" xfId="1" applyFont="1" applyFill="1" applyBorder="1" applyAlignment="1">
      <alignment horizontal="center" vertical="center" wrapText="1" readingOrder="1"/>
    </xf>
    <xf numFmtId="0" fontId="5" fillId="0" borderId="1" xfId="1" applyFont="1" applyBorder="1" applyAlignment="1">
      <alignment horizontal="center" vertical="center"/>
    </xf>
    <xf numFmtId="0" fontId="7" fillId="0" borderId="1" xfId="1" applyFont="1" applyBorder="1" applyAlignment="1">
      <alignment horizontal="center" vertical="center" wrapText="1" readingOrder="1"/>
    </xf>
    <xf numFmtId="0" fontId="7" fillId="0" borderId="1" xfId="1" applyFont="1" applyBorder="1" applyAlignment="1">
      <alignment horizontal="center" vertical="center" wrapText="1"/>
    </xf>
    <xf numFmtId="0" fontId="2" fillId="0" borderId="5" xfId="1" applyFont="1" applyBorder="1" applyAlignment="1">
      <alignment vertical="center"/>
    </xf>
    <xf numFmtId="0" fontId="21" fillId="0" borderId="13" xfId="1" applyFont="1" applyBorder="1" applyAlignment="1">
      <alignment vertical="center"/>
    </xf>
    <xf numFmtId="0" fontId="20" fillId="6" borderId="1" xfId="1" applyFont="1" applyFill="1" applyBorder="1" applyAlignment="1" applyProtection="1">
      <alignment vertical="center" wrapText="1"/>
    </xf>
    <xf numFmtId="0" fontId="23" fillId="3" borderId="1" xfId="1" applyFont="1" applyFill="1" applyBorder="1" applyAlignment="1">
      <alignment horizontal="center" vertical="center" wrapText="1"/>
    </xf>
    <xf numFmtId="0" fontId="14" fillId="3" borderId="1" xfId="1" applyFont="1" applyFill="1" applyBorder="1" applyAlignment="1" applyProtection="1">
      <alignment horizontal="center" vertical="center" wrapText="1"/>
      <protection locked="0"/>
    </xf>
    <xf numFmtId="0" fontId="14" fillId="3" borderId="1" xfId="1" applyFont="1" applyFill="1" applyBorder="1" applyAlignment="1" applyProtection="1">
      <alignment vertical="center" wrapText="1"/>
      <protection locked="0"/>
    </xf>
    <xf numFmtId="0" fontId="23" fillId="3" borderId="1" xfId="1" applyFont="1" applyFill="1" applyBorder="1" applyAlignment="1" applyProtection="1">
      <alignment horizontal="justify" vertical="center" wrapText="1"/>
      <protection locked="0"/>
    </xf>
    <xf numFmtId="0" fontId="14" fillId="0" borderId="1" xfId="1" applyFont="1" applyBorder="1" applyAlignment="1" applyProtection="1">
      <alignment horizontal="center" vertical="center" wrapText="1"/>
      <protection locked="0"/>
    </xf>
    <xf numFmtId="0" fontId="14" fillId="0" borderId="1" xfId="1" applyNumberFormat="1" applyFont="1" applyBorder="1" applyAlignment="1" applyProtection="1">
      <alignment horizontal="justify" vertical="center" wrapText="1"/>
    </xf>
    <xf numFmtId="0" fontId="14" fillId="0" borderId="1" xfId="1" applyFont="1" applyFill="1" applyBorder="1" applyAlignment="1" applyProtection="1">
      <alignment vertical="center" wrapText="1"/>
      <protection locked="0"/>
    </xf>
    <xf numFmtId="0" fontId="14" fillId="0" borderId="1" xfId="1" applyNumberFormat="1" applyFont="1" applyBorder="1" applyAlignment="1" applyProtection="1">
      <alignment horizontal="center" vertical="center" wrapText="1"/>
    </xf>
    <xf numFmtId="0" fontId="14" fillId="3" borderId="1" xfId="1" applyFont="1" applyFill="1" applyBorder="1" applyAlignment="1" applyProtection="1">
      <alignment horizontal="center" vertical="center" wrapText="1"/>
    </xf>
    <xf numFmtId="0" fontId="14" fillId="0" borderId="1" xfId="1" applyFont="1" applyFill="1" applyBorder="1" applyAlignment="1" applyProtection="1">
      <alignment horizontal="center" vertical="center" wrapText="1"/>
    </xf>
    <xf numFmtId="0" fontId="14" fillId="6" borderId="1" xfId="1" applyFont="1" applyFill="1" applyBorder="1" applyAlignment="1" applyProtection="1">
      <alignment horizontal="center" vertical="center" wrapText="1"/>
    </xf>
    <xf numFmtId="0" fontId="14" fillId="0" borderId="1" xfId="1" applyFont="1" applyFill="1" applyBorder="1" applyAlignment="1" applyProtection="1">
      <alignment horizontal="center" vertical="center" wrapText="1"/>
      <protection locked="0"/>
    </xf>
    <xf numFmtId="0" fontId="14" fillId="0" borderId="1" xfId="1" applyNumberFormat="1" applyFont="1" applyBorder="1" applyAlignment="1" applyProtection="1">
      <alignment horizontal="left" vertical="center" wrapText="1"/>
    </xf>
    <xf numFmtId="164" fontId="14" fillId="0" borderId="5" xfId="1" applyNumberFormat="1" applyFont="1" applyFill="1" applyBorder="1" applyAlignment="1" applyProtection="1">
      <alignment horizontal="center" vertical="center" wrapText="1"/>
      <protection locked="0"/>
    </xf>
    <xf numFmtId="0" fontId="14" fillId="0" borderId="5" xfId="1" applyFont="1" applyFill="1" applyBorder="1" applyAlignment="1" applyProtection="1">
      <alignment horizontal="center" vertical="center" wrapText="1"/>
      <protection locked="0"/>
    </xf>
    <xf numFmtId="0" fontId="14" fillId="0" borderId="5" xfId="1" applyFont="1" applyFill="1" applyBorder="1" applyAlignment="1" applyProtection="1">
      <alignment horizontal="left" vertical="center" wrapText="1"/>
      <protection locked="0"/>
    </xf>
    <xf numFmtId="0" fontId="23" fillId="0" borderId="1" xfId="1" applyFont="1" applyBorder="1" applyAlignment="1">
      <alignment horizontal="center" vertical="center" wrapText="1"/>
    </xf>
    <xf numFmtId="0" fontId="23" fillId="3" borderId="1" xfId="1" applyFont="1" applyFill="1" applyBorder="1" applyAlignment="1" applyProtection="1">
      <alignment vertical="center" wrapText="1"/>
      <protection locked="0"/>
    </xf>
    <xf numFmtId="0" fontId="14" fillId="6" borderId="5" xfId="1" applyFont="1" applyFill="1" applyBorder="1" applyAlignment="1" applyProtection="1">
      <alignment horizontal="center" vertical="center" wrapText="1"/>
    </xf>
    <xf numFmtId="0" fontId="2" fillId="2" borderId="11" xfId="1" applyFont="1" applyFill="1" applyBorder="1" applyAlignment="1">
      <alignment horizontal="center" vertical="center" wrapText="1"/>
    </xf>
    <xf numFmtId="0" fontId="14" fillId="0" borderId="6" xfId="1" applyFont="1" applyBorder="1" applyAlignment="1" applyProtection="1">
      <alignment horizontal="center" vertical="center" wrapText="1"/>
      <protection locked="0"/>
    </xf>
    <xf numFmtId="49" fontId="2" fillId="0" borderId="1" xfId="1" applyNumberFormat="1" applyFont="1" applyBorder="1" applyAlignment="1">
      <alignment horizontal="center" vertical="center"/>
    </xf>
    <xf numFmtId="49" fontId="2" fillId="0" borderId="1" xfId="1" applyNumberFormat="1" applyFont="1" applyBorder="1" applyAlignment="1">
      <alignment horizontal="left" vertical="center"/>
    </xf>
    <xf numFmtId="0" fontId="1" fillId="0" borderId="1" xfId="2" applyFont="1" applyFill="1" applyBorder="1" applyAlignment="1" applyProtection="1">
      <alignment horizontal="left" vertical="center" wrapText="1"/>
      <protection locked="0"/>
    </xf>
    <xf numFmtId="0" fontId="16" fillId="0" borderId="1" xfId="1" applyFont="1" applyFill="1" applyBorder="1" applyAlignment="1" applyProtection="1">
      <alignment vertical="center"/>
    </xf>
    <xf numFmtId="0" fontId="23" fillId="0" borderId="1" xfId="1" applyFont="1" applyFill="1" applyBorder="1" applyAlignment="1" applyProtection="1">
      <alignment horizontal="justify" vertical="center" wrapText="1"/>
      <protection locked="0"/>
    </xf>
    <xf numFmtId="0" fontId="23" fillId="0" borderId="1" xfId="1" applyNumberFormat="1" applyFont="1" applyBorder="1" applyAlignment="1" applyProtection="1">
      <alignment horizontal="left" vertical="center" wrapText="1"/>
    </xf>
    <xf numFmtId="0" fontId="23" fillId="0" borderId="1" xfId="1" applyNumberFormat="1" applyFont="1" applyBorder="1" applyAlignment="1" applyProtection="1">
      <alignment horizontal="center" vertical="center" wrapText="1"/>
    </xf>
    <xf numFmtId="0" fontId="23" fillId="3" borderId="1" xfId="1" applyFont="1" applyFill="1" applyBorder="1" applyAlignment="1" applyProtection="1">
      <alignment horizontal="center" vertical="center" wrapText="1"/>
    </xf>
    <xf numFmtId="0" fontId="23" fillId="0" borderId="1" xfId="1" applyFont="1" applyFill="1" applyBorder="1" applyAlignment="1" applyProtection="1">
      <alignment horizontal="center" vertical="center" wrapText="1"/>
    </xf>
    <xf numFmtId="0" fontId="23" fillId="6" borderId="1" xfId="1" applyFont="1" applyFill="1" applyBorder="1" applyAlignment="1" applyProtection="1">
      <alignment horizontal="center" vertical="center" wrapText="1"/>
    </xf>
    <xf numFmtId="0" fontId="23" fillId="0" borderId="1" xfId="1" applyFont="1" applyBorder="1" applyAlignment="1" applyProtection="1">
      <alignment horizontal="center" vertical="center" wrapText="1"/>
      <protection locked="0"/>
    </xf>
    <xf numFmtId="0" fontId="23" fillId="0" borderId="1" xfId="1" applyFont="1" applyFill="1" applyBorder="1" applyAlignment="1" applyProtection="1">
      <alignment horizontal="center" vertical="center" wrapText="1"/>
      <protection locked="0"/>
    </xf>
    <xf numFmtId="0" fontId="23" fillId="3" borderId="1" xfId="1" applyFont="1" applyFill="1" applyBorder="1" applyAlignment="1" applyProtection="1">
      <alignment horizontal="center" vertical="center" wrapText="1"/>
      <protection locked="0"/>
    </xf>
    <xf numFmtId="0" fontId="23" fillId="0" borderId="1" xfId="1" applyFont="1" applyFill="1" applyBorder="1" applyAlignment="1" applyProtection="1">
      <alignment horizontal="left" vertical="center" wrapText="1"/>
      <protection locked="0"/>
    </xf>
    <xf numFmtId="0" fontId="23" fillId="0" borderId="1" xfId="1" applyNumberFormat="1" applyFont="1" applyBorder="1" applyAlignment="1" applyProtection="1">
      <alignment horizontal="center" vertical="center" wrapText="1"/>
    </xf>
    <xf numFmtId="0" fontId="23" fillId="3" borderId="1" xfId="1" applyFont="1" applyFill="1" applyBorder="1" applyAlignment="1" applyProtection="1">
      <alignment horizontal="center" vertical="center" wrapText="1"/>
    </xf>
    <xf numFmtId="0" fontId="23" fillId="0" borderId="1" xfId="1" applyFont="1" applyFill="1" applyBorder="1" applyAlignment="1" applyProtection="1">
      <alignment horizontal="center" vertical="center" wrapText="1"/>
    </xf>
    <xf numFmtId="0" fontId="23" fillId="6" borderId="1" xfId="1" applyFont="1" applyFill="1" applyBorder="1" applyAlignment="1" applyProtection="1">
      <alignment horizontal="center" vertical="center" wrapText="1"/>
    </xf>
    <xf numFmtId="0" fontId="23" fillId="0" borderId="1" xfId="1" applyFont="1" applyBorder="1" applyAlignment="1" applyProtection="1">
      <alignment horizontal="center" vertical="center" wrapText="1"/>
      <protection locked="0"/>
    </xf>
    <xf numFmtId="0" fontId="23" fillId="0" borderId="1" xfId="1" applyFont="1" applyFill="1" applyBorder="1" applyAlignment="1" applyProtection="1">
      <alignment horizontal="center" vertical="center" wrapText="1"/>
      <protection locked="0"/>
    </xf>
    <xf numFmtId="0" fontId="23" fillId="0" borderId="1" xfId="1" applyFont="1" applyFill="1" applyBorder="1" applyAlignment="1" applyProtection="1">
      <alignment vertical="center" wrapText="1"/>
      <protection locked="0"/>
    </xf>
    <xf numFmtId="0" fontId="23" fillId="0" borderId="1" xfId="1" applyFont="1" applyFill="1" applyBorder="1" applyAlignment="1" applyProtection="1">
      <alignment horizontal="left" vertical="center" wrapText="1"/>
      <protection locked="0"/>
    </xf>
    <xf numFmtId="0" fontId="23" fillId="0" borderId="1" xfId="1" applyNumberFormat="1" applyFont="1" applyBorder="1" applyAlignment="1" applyProtection="1">
      <alignment horizontal="center" vertical="center" wrapText="1"/>
    </xf>
    <xf numFmtId="0" fontId="23" fillId="3" borderId="1" xfId="1" applyFont="1" applyFill="1" applyBorder="1" applyAlignment="1" applyProtection="1">
      <alignment horizontal="center" vertical="center" wrapText="1"/>
    </xf>
    <xf numFmtId="0" fontId="23" fillId="0" borderId="1" xfId="1" applyFont="1" applyFill="1" applyBorder="1" applyAlignment="1" applyProtection="1">
      <alignment horizontal="center" vertical="center" wrapText="1"/>
    </xf>
    <xf numFmtId="0" fontId="23" fillId="6" borderId="1" xfId="1" applyFont="1" applyFill="1" applyBorder="1" applyAlignment="1" applyProtection="1">
      <alignment horizontal="center" vertical="center" wrapText="1"/>
    </xf>
    <xf numFmtId="0" fontId="23" fillId="0" borderId="1" xfId="1" applyFont="1" applyBorder="1" applyAlignment="1" applyProtection="1">
      <alignment horizontal="center" vertical="center" wrapText="1"/>
      <protection locked="0"/>
    </xf>
    <xf numFmtId="0" fontId="23" fillId="0" borderId="1" xfId="1" applyFont="1" applyFill="1" applyBorder="1" applyAlignment="1" applyProtection="1">
      <alignment vertical="center" wrapText="1"/>
      <protection locked="0"/>
    </xf>
    <xf numFmtId="0" fontId="23" fillId="0" borderId="1" xfId="1" applyNumberFormat="1" applyFont="1" applyBorder="1" applyAlignment="1" applyProtection="1">
      <alignment vertical="center" wrapText="1"/>
    </xf>
    <xf numFmtId="0" fontId="23" fillId="0" borderId="1" xfId="1" applyFont="1" applyFill="1" applyBorder="1" applyAlignment="1" applyProtection="1">
      <alignment vertical="center" wrapText="1"/>
    </xf>
    <xf numFmtId="0" fontId="23" fillId="6" borderId="1" xfId="1" applyFont="1" applyFill="1" applyBorder="1" applyAlignment="1" applyProtection="1">
      <alignment vertical="center" wrapText="1"/>
    </xf>
    <xf numFmtId="0" fontId="23" fillId="0" borderId="1" xfId="1" applyNumberFormat="1" applyFont="1" applyBorder="1" applyAlignment="1" applyProtection="1">
      <alignment horizontal="center" vertical="center" wrapText="1"/>
    </xf>
    <xf numFmtId="0" fontId="23" fillId="3" borderId="1" xfId="1" applyFont="1" applyFill="1" applyBorder="1" applyAlignment="1" applyProtection="1">
      <alignment horizontal="center" vertical="center" wrapText="1"/>
    </xf>
    <xf numFmtId="0" fontId="23" fillId="0" borderId="1" xfId="1" applyFont="1" applyFill="1" applyBorder="1" applyAlignment="1" applyProtection="1">
      <alignment horizontal="center" vertical="center" wrapText="1"/>
    </xf>
    <xf numFmtId="0" fontId="23" fillId="6" borderId="1" xfId="1" applyFont="1" applyFill="1" applyBorder="1" applyAlignment="1" applyProtection="1">
      <alignment horizontal="center" vertical="center" wrapText="1"/>
    </xf>
    <xf numFmtId="0" fontId="23" fillId="0" borderId="1" xfId="1" applyFont="1" applyBorder="1" applyAlignment="1" applyProtection="1">
      <alignment horizontal="center" vertical="center" wrapText="1"/>
      <protection locked="0"/>
    </xf>
    <xf numFmtId="0" fontId="23" fillId="0" borderId="1" xfId="1" applyFont="1" applyFill="1" applyBorder="1" applyAlignment="1" applyProtection="1">
      <alignment horizontal="center" vertical="center" wrapText="1"/>
      <protection locked="0"/>
    </xf>
    <xf numFmtId="0" fontId="23" fillId="0" borderId="5" xfId="1" applyFont="1" applyFill="1" applyBorder="1" applyAlignment="1" applyProtection="1">
      <alignment horizontal="center" vertical="center" wrapText="1"/>
      <protection locked="0"/>
    </xf>
    <xf numFmtId="0" fontId="23" fillId="0" borderId="1" xfId="1" applyFont="1" applyFill="1" applyBorder="1" applyAlignment="1" applyProtection="1">
      <alignment horizontal="left" vertical="center" wrapText="1"/>
      <protection locked="0"/>
    </xf>
    <xf numFmtId="0" fontId="23" fillId="0" borderId="1" xfId="1" applyFont="1" applyFill="1" applyBorder="1" applyAlignment="1" applyProtection="1">
      <alignment vertical="center"/>
      <protection locked="0"/>
    </xf>
    <xf numFmtId="0" fontId="23" fillId="0" borderId="1" xfId="1" applyFont="1" applyFill="1" applyBorder="1" applyAlignment="1" applyProtection="1">
      <alignment horizontal="center" vertical="center" wrapText="1"/>
      <protection locked="0"/>
    </xf>
    <xf numFmtId="0" fontId="14" fillId="0" borderId="0" xfId="1" applyNumberFormat="1" applyFont="1" applyBorder="1" applyAlignment="1" applyProtection="1">
      <alignment horizontal="center" vertical="center" wrapText="1"/>
    </xf>
    <xf numFmtId="0" fontId="14" fillId="3" borderId="0" xfId="1" applyFont="1" applyFill="1" applyBorder="1" applyAlignment="1" applyProtection="1">
      <alignment horizontal="center" vertical="center" wrapText="1"/>
    </xf>
    <xf numFmtId="0" fontId="14" fillId="6" borderId="0" xfId="1" applyFont="1" applyFill="1" applyBorder="1" applyAlignment="1" applyProtection="1">
      <alignment horizontal="center" vertical="center" wrapText="1"/>
    </xf>
    <xf numFmtId="0" fontId="14" fillId="3" borderId="0" xfId="1" applyFont="1" applyFill="1" applyBorder="1" applyAlignment="1" applyProtection="1">
      <alignment horizontal="justify" vertical="center" wrapText="1"/>
      <protection locked="0"/>
    </xf>
    <xf numFmtId="0" fontId="17" fillId="0" borderId="0" xfId="0" applyFont="1" applyFill="1" applyBorder="1" applyAlignment="1" applyProtection="1">
      <alignment horizontal="center" vertical="center" wrapText="1"/>
      <protection locked="0"/>
    </xf>
    <xf numFmtId="0" fontId="14" fillId="0" borderId="0" xfId="1" applyFont="1" applyBorder="1" applyAlignment="1" applyProtection="1">
      <alignment horizontal="center" vertical="center" wrapText="1"/>
      <protection locked="0"/>
    </xf>
    <xf numFmtId="0" fontId="14" fillId="0" borderId="0" xfId="1" applyFont="1" applyFill="1" applyBorder="1" applyAlignment="1" applyProtection="1">
      <alignment horizontal="center" vertical="center" wrapText="1"/>
      <protection locked="0"/>
    </xf>
    <xf numFmtId="0" fontId="14" fillId="3" borderId="0" xfId="1" applyFont="1" applyFill="1" applyBorder="1" applyAlignment="1" applyProtection="1">
      <alignment vertical="center" wrapText="1"/>
      <protection locked="0"/>
    </xf>
    <xf numFmtId="164" fontId="14" fillId="0" borderId="0" xfId="1" applyNumberFormat="1" applyFont="1" applyFill="1" applyBorder="1" applyAlignment="1" applyProtection="1">
      <alignment horizontal="center" vertical="center" wrapText="1"/>
      <protection locked="0"/>
    </xf>
    <xf numFmtId="0" fontId="14" fillId="0" borderId="0" xfId="1" applyFont="1" applyFill="1" applyBorder="1" applyAlignment="1" applyProtection="1">
      <alignment horizontal="left" vertical="center" wrapText="1"/>
      <protection locked="0"/>
    </xf>
    <xf numFmtId="0" fontId="14" fillId="3" borderId="0" xfId="1" applyFont="1" applyFill="1" applyBorder="1" applyAlignment="1" applyProtection="1">
      <alignment horizontal="left" vertical="center" wrapText="1"/>
      <protection locked="0"/>
    </xf>
    <xf numFmtId="0" fontId="2" fillId="0" borderId="0" xfId="1" applyFont="1" applyAlignment="1">
      <alignment vertical="center"/>
    </xf>
    <xf numFmtId="0" fontId="2" fillId="0" borderId="1" xfId="1" applyFont="1" applyBorder="1" applyAlignment="1">
      <alignment vertical="center"/>
    </xf>
    <xf numFmtId="0" fontId="5" fillId="0" borderId="0" xfId="1" applyFont="1" applyFill="1" applyAlignment="1">
      <alignment horizontal="center" vertical="center"/>
    </xf>
    <xf numFmtId="0" fontId="16" fillId="0" borderId="0" xfId="1" applyFont="1" applyAlignment="1" applyProtection="1">
      <alignment vertical="center"/>
    </xf>
    <xf numFmtId="0" fontId="14" fillId="10" borderId="1" xfId="1" applyFont="1" applyFill="1" applyBorder="1" applyAlignment="1" applyProtection="1">
      <alignment horizontal="center" vertical="center" wrapText="1"/>
    </xf>
    <xf numFmtId="0" fontId="14" fillId="3" borderId="1" xfId="1" applyNumberFormat="1" applyFont="1" applyFill="1" applyBorder="1" applyAlignment="1" applyProtection="1">
      <alignment horizontal="left" vertical="center" wrapText="1"/>
    </xf>
    <xf numFmtId="0" fontId="14" fillId="3" borderId="1" xfId="1" applyNumberFormat="1" applyFont="1" applyFill="1" applyBorder="1" applyAlignment="1" applyProtection="1">
      <alignment horizontal="center" vertical="center" wrapText="1"/>
    </xf>
    <xf numFmtId="0" fontId="14" fillId="3" borderId="1" xfId="1" applyFont="1" applyFill="1" applyBorder="1" applyAlignment="1" applyProtection="1">
      <alignment horizontal="center" vertical="center" wrapText="1"/>
    </xf>
    <xf numFmtId="0" fontId="14" fillId="3" borderId="1" xfId="1" applyFont="1" applyFill="1" applyBorder="1" applyAlignment="1" applyProtection="1">
      <alignment horizontal="center" vertical="center" wrapText="1"/>
      <protection locked="0"/>
    </xf>
    <xf numFmtId="0" fontId="14" fillId="3" borderId="1" xfId="1" applyFont="1" applyFill="1" applyBorder="1" applyAlignment="1" applyProtection="1">
      <alignment horizontal="left" vertical="center" wrapText="1"/>
      <protection locked="0"/>
    </xf>
    <xf numFmtId="0" fontId="14" fillId="3" borderId="5" xfId="1" applyFont="1" applyFill="1" applyBorder="1" applyAlignment="1" applyProtection="1">
      <alignment horizontal="left" vertical="center" wrapText="1"/>
      <protection locked="0"/>
    </xf>
    <xf numFmtId="0" fontId="14" fillId="3" borderId="5" xfId="1" applyFont="1" applyFill="1" applyBorder="1" applyAlignment="1" applyProtection="1">
      <alignment horizontal="center" vertical="center" wrapText="1"/>
      <protection locked="0"/>
    </xf>
    <xf numFmtId="0" fontId="14" fillId="3" borderId="1" xfId="1" applyFont="1" applyFill="1" applyBorder="1" applyAlignment="1" applyProtection="1">
      <alignment vertical="center" wrapText="1"/>
      <protection locked="0"/>
    </xf>
    <xf numFmtId="0" fontId="17" fillId="3" borderId="23" xfId="1" applyFont="1" applyFill="1" applyBorder="1" applyAlignment="1" applyProtection="1">
      <alignment horizontal="left" vertical="center" wrapText="1"/>
      <protection locked="0"/>
    </xf>
    <xf numFmtId="0" fontId="14" fillId="0" borderId="1" xfId="1" applyFont="1" applyFill="1" applyBorder="1" applyAlignment="1" applyProtection="1">
      <alignment horizontal="center" vertical="center" wrapText="1"/>
      <protection locked="0"/>
    </xf>
    <xf numFmtId="164" fontId="14" fillId="0" borderId="5" xfId="1" applyNumberFormat="1" applyFont="1" applyFill="1" applyBorder="1" applyAlignment="1" applyProtection="1">
      <alignment horizontal="center" vertical="center" wrapText="1"/>
      <protection locked="0"/>
    </xf>
    <xf numFmtId="0" fontId="2" fillId="2" borderId="1" xfId="1" applyFont="1" applyFill="1" applyBorder="1" applyAlignment="1">
      <alignment horizontal="center" vertical="center" wrapText="1"/>
    </xf>
    <xf numFmtId="0" fontId="2" fillId="0" borderId="1" xfId="1" applyFont="1" applyBorder="1" applyAlignment="1">
      <alignment horizontal="center" vertical="center"/>
    </xf>
    <xf numFmtId="0" fontId="2" fillId="0" borderId="0" xfId="1" applyFont="1" applyAlignment="1">
      <alignment vertical="center" wrapText="1"/>
    </xf>
    <xf numFmtId="0" fontId="2" fillId="0" borderId="16" xfId="1" applyFont="1" applyBorder="1" applyAlignment="1">
      <alignment vertical="center"/>
    </xf>
    <xf numFmtId="164" fontId="23" fillId="0" borderId="5" xfId="1" applyNumberFormat="1" applyFont="1" applyFill="1" applyBorder="1" applyAlignment="1" applyProtection="1">
      <alignment horizontal="center" vertical="center" wrapText="1"/>
      <protection locked="0"/>
    </xf>
    <xf numFmtId="0" fontId="23" fillId="0" borderId="1" xfId="1" applyFont="1" applyFill="1" applyBorder="1" applyAlignment="1" applyProtection="1">
      <alignment vertical="center" wrapText="1"/>
      <protection locked="0"/>
    </xf>
    <xf numFmtId="0" fontId="2" fillId="3" borderId="29" xfId="1" applyFont="1" applyFill="1" applyBorder="1" applyAlignment="1">
      <alignment vertical="center" wrapText="1"/>
    </xf>
    <xf numFmtId="0" fontId="18" fillId="3" borderId="1" xfId="1" applyFont="1" applyFill="1" applyBorder="1" applyAlignment="1">
      <alignment horizontal="left" vertical="center" wrapText="1"/>
    </xf>
    <xf numFmtId="0" fontId="16" fillId="0" borderId="1" xfId="1" applyNumberFormat="1" applyFont="1" applyBorder="1" applyAlignment="1" applyProtection="1">
      <alignment horizontal="left" vertical="center" wrapText="1"/>
    </xf>
    <xf numFmtId="0" fontId="16" fillId="3" borderId="1" xfId="1" applyFont="1" applyFill="1" applyBorder="1" applyAlignment="1" applyProtection="1">
      <alignment vertical="center" wrapText="1"/>
      <protection locked="0"/>
    </xf>
    <xf numFmtId="0" fontId="16" fillId="0" borderId="5" xfId="1" applyFont="1" applyFill="1" applyBorder="1" applyAlignment="1" applyProtection="1">
      <alignment horizontal="left" vertical="center" wrapText="1"/>
      <protection locked="0"/>
    </xf>
    <xf numFmtId="0" fontId="16" fillId="0" borderId="5" xfId="1" applyFont="1" applyFill="1" applyBorder="1" applyAlignment="1" applyProtection="1">
      <alignment horizontal="center" vertical="center" wrapText="1"/>
      <protection locked="0"/>
    </xf>
    <xf numFmtId="0" fontId="16" fillId="0" borderId="1" xfId="1" applyFont="1" applyFill="1" applyBorder="1" applyAlignment="1" applyProtection="1">
      <alignment vertical="center" wrapText="1"/>
      <protection locked="0"/>
    </xf>
    <xf numFmtId="0" fontId="2" fillId="0" borderId="6" xfId="1" applyFont="1" applyFill="1" applyBorder="1" applyAlignment="1">
      <alignment vertical="center"/>
    </xf>
    <xf numFmtId="0" fontId="14" fillId="0" borderId="5" xfId="1" applyFont="1" applyFill="1" applyBorder="1" applyAlignment="1" applyProtection="1">
      <alignment horizontal="left" vertical="center" wrapText="1"/>
      <protection locked="0"/>
    </xf>
    <xf numFmtId="0" fontId="14" fillId="0" borderId="5" xfId="1" applyFont="1" applyFill="1" applyBorder="1" applyAlignment="1" applyProtection="1">
      <alignment horizontal="left" vertical="center" wrapText="1"/>
      <protection locked="0"/>
    </xf>
    <xf numFmtId="0" fontId="14" fillId="0" borderId="5" xfId="1" applyFont="1" applyFill="1" applyBorder="1" applyAlignment="1" applyProtection="1">
      <alignment horizontal="left" vertical="center" wrapText="1"/>
      <protection locked="0"/>
    </xf>
    <xf numFmtId="164" fontId="14" fillId="0" borderId="5" xfId="1" applyNumberFormat="1" applyFont="1" applyFill="1" applyBorder="1" applyAlignment="1" applyProtection="1">
      <alignment horizontal="center" vertical="center" wrapText="1"/>
      <protection locked="0"/>
    </xf>
    <xf numFmtId="0" fontId="14" fillId="0" borderId="5" xfId="1" applyFont="1" applyFill="1" applyBorder="1" applyAlignment="1" applyProtection="1">
      <alignment horizontal="left" vertical="center" wrapText="1"/>
      <protection locked="0"/>
    </xf>
    <xf numFmtId="0" fontId="2" fillId="0" borderId="0" xfId="1" applyFont="1" applyAlignment="1">
      <alignment vertical="center"/>
    </xf>
    <xf numFmtId="0" fontId="2" fillId="0" borderId="0" xfId="1" applyFont="1" applyBorder="1" applyAlignment="1">
      <alignment vertical="center"/>
    </xf>
    <xf numFmtId="49" fontId="2" fillId="0" borderId="0" xfId="1" applyNumberFormat="1" applyFont="1" applyBorder="1" applyAlignment="1">
      <alignment horizontal="left" vertical="center"/>
    </xf>
    <xf numFmtId="0" fontId="2" fillId="0" borderId="0" xfId="1" applyFont="1" applyAlignment="1">
      <alignment horizontal="left" vertical="center"/>
    </xf>
    <xf numFmtId="0" fontId="2" fillId="0" borderId="0" xfId="1" applyFont="1" applyBorder="1" applyAlignment="1">
      <alignment horizontal="left" vertical="center"/>
    </xf>
    <xf numFmtId="0" fontId="2" fillId="2" borderId="1" xfId="1" applyFont="1" applyFill="1" applyBorder="1" applyAlignment="1">
      <alignment horizontal="center" vertical="center" wrapText="1"/>
    </xf>
    <xf numFmtId="0" fontId="2" fillId="0" borderId="1" xfId="1" applyFont="1" applyBorder="1" applyAlignment="1">
      <alignment vertical="center"/>
    </xf>
    <xf numFmtId="0" fontId="2" fillId="3" borderId="1" xfId="1" applyFont="1" applyFill="1" applyBorder="1" applyAlignment="1" applyProtection="1">
      <alignment horizontal="left" vertical="center" wrapText="1"/>
      <protection locked="0"/>
    </xf>
    <xf numFmtId="164" fontId="23" fillId="0" borderId="1" xfId="1" applyNumberFormat="1" applyFont="1" applyFill="1" applyBorder="1" applyAlignment="1" applyProtection="1">
      <alignment horizontal="center" vertical="center" wrapText="1"/>
      <protection locked="0"/>
    </xf>
    <xf numFmtId="0" fontId="4" fillId="0" borderId="0" xfId="1" applyFont="1" applyFill="1" applyBorder="1" applyAlignment="1">
      <alignment horizontal="left" vertical="center" wrapText="1"/>
    </xf>
    <xf numFmtId="0" fontId="2" fillId="0" borderId="0" xfId="1" applyNumberFormat="1" applyFont="1" applyBorder="1" applyAlignment="1">
      <alignment horizontal="left" vertical="top" wrapText="1"/>
    </xf>
    <xf numFmtId="0" fontId="3" fillId="2" borderId="0" xfId="1" applyFont="1" applyFill="1" applyBorder="1" applyAlignment="1">
      <alignment horizontal="center" vertical="center" wrapText="1"/>
    </xf>
    <xf numFmtId="0" fontId="2" fillId="0" borderId="6" xfId="1" applyFont="1" applyBorder="1" applyAlignment="1">
      <alignment vertical="center"/>
    </xf>
    <xf numFmtId="0" fontId="23" fillId="0" borderId="1" xfId="1" applyFont="1" applyFill="1" applyBorder="1" applyAlignment="1" applyProtection="1">
      <alignment horizontal="justify" vertical="center" wrapText="1"/>
      <protection locked="0"/>
    </xf>
    <xf numFmtId="0" fontId="2" fillId="0" borderId="16" xfId="1" applyFont="1" applyBorder="1" applyAlignment="1">
      <alignment vertical="center"/>
    </xf>
    <xf numFmtId="0" fontId="14" fillId="0" borderId="1" xfId="1" applyFont="1" applyFill="1" applyBorder="1" applyAlignment="1" applyProtection="1">
      <alignment horizontal="center" vertical="center" wrapText="1"/>
      <protection locked="0"/>
    </xf>
    <xf numFmtId="165" fontId="16" fillId="0" borderId="0" xfId="1" applyNumberFormat="1" applyFont="1" applyBorder="1" applyAlignment="1" applyProtection="1">
      <alignment horizontal="left" vertical="center"/>
    </xf>
    <xf numFmtId="164" fontId="14" fillId="0" borderId="5" xfId="1" applyNumberFormat="1" applyFont="1" applyFill="1" applyBorder="1" applyAlignment="1" applyProtection="1">
      <alignment horizontal="center" vertical="center" wrapText="1"/>
      <protection locked="0"/>
    </xf>
    <xf numFmtId="0" fontId="14" fillId="0" borderId="1" xfId="1" applyFont="1" applyFill="1" applyBorder="1" applyAlignment="1" applyProtection="1">
      <alignment vertical="center" wrapText="1"/>
      <protection locked="0"/>
    </xf>
    <xf numFmtId="0" fontId="14" fillId="0" borderId="1" xfId="1" applyFont="1" applyFill="1" applyBorder="1" applyAlignment="1" applyProtection="1">
      <alignment horizontal="center" vertical="center" wrapText="1"/>
      <protection locked="0"/>
    </xf>
    <xf numFmtId="0" fontId="23" fillId="0" borderId="1" xfId="1" applyFont="1" applyFill="1" applyBorder="1" applyAlignment="1" applyProtection="1">
      <alignment horizontal="justify" vertical="top" wrapText="1"/>
      <protection locked="0"/>
    </xf>
    <xf numFmtId="0" fontId="2" fillId="2" borderId="1" xfId="1" applyFont="1" applyFill="1" applyBorder="1" applyAlignment="1">
      <alignment horizontal="center" vertical="center" wrapText="1"/>
    </xf>
    <xf numFmtId="0" fontId="2" fillId="0" borderId="1" xfId="1" applyFont="1" applyBorder="1" applyAlignment="1">
      <alignment horizontal="center" vertical="center"/>
    </xf>
    <xf numFmtId="0" fontId="3" fillId="2" borderId="6"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7" fillId="4" borderId="20" xfId="1" applyFont="1" applyFill="1" applyBorder="1" applyAlignment="1">
      <alignment horizontal="center" vertical="center" wrapText="1" readingOrder="1"/>
    </xf>
    <xf numFmtId="0" fontId="2" fillId="2" borderId="12"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3" borderId="1" xfId="0" applyFont="1" applyFill="1" applyBorder="1" applyAlignment="1" applyProtection="1">
      <alignment horizontal="left" vertical="center" wrapText="1"/>
      <protection locked="0"/>
    </xf>
    <xf numFmtId="0" fontId="23" fillId="0" borderId="1" xfId="1" applyFont="1" applyBorder="1" applyAlignment="1" applyProtection="1">
      <alignment horizontal="center" vertical="center" wrapText="1"/>
    </xf>
    <xf numFmtId="0" fontId="23" fillId="3" borderId="1" xfId="0" applyFont="1" applyFill="1" applyBorder="1" applyAlignment="1" applyProtection="1">
      <alignment horizontal="left" vertical="center" wrapText="1"/>
      <protection locked="0"/>
    </xf>
    <xf numFmtId="0" fontId="14" fillId="0" borderId="1" xfId="1" applyNumberFormat="1" applyFont="1" applyBorder="1" applyAlignment="1" applyProtection="1">
      <alignment horizontal="center" vertical="center" wrapText="1"/>
    </xf>
    <xf numFmtId="0" fontId="14" fillId="3" borderId="1" xfId="1" applyFont="1" applyFill="1" applyBorder="1" applyAlignment="1" applyProtection="1">
      <alignment horizontal="center" vertical="center" wrapText="1"/>
    </xf>
    <xf numFmtId="0" fontId="14" fillId="0" borderId="1" xfId="1" applyFont="1" applyFill="1" applyBorder="1" applyAlignment="1" applyProtection="1">
      <alignment horizontal="center" vertical="center" wrapText="1"/>
    </xf>
    <xf numFmtId="0" fontId="14" fillId="6" borderId="1" xfId="1" applyFont="1" applyFill="1" applyBorder="1" applyAlignment="1" applyProtection="1">
      <alignment horizontal="center" vertical="center" wrapText="1"/>
    </xf>
    <xf numFmtId="0" fontId="14" fillId="0" borderId="1" xfId="1" applyFont="1" applyBorder="1" applyAlignment="1" applyProtection="1">
      <alignment horizontal="center" vertical="center" wrapText="1"/>
      <protection locked="0"/>
    </xf>
    <xf numFmtId="0" fontId="14" fillId="0" borderId="1" xfId="1" applyNumberFormat="1" applyFont="1" applyBorder="1" applyAlignment="1" applyProtection="1">
      <alignment horizontal="justify" vertical="center" wrapText="1"/>
    </xf>
    <xf numFmtId="0" fontId="17" fillId="0" borderId="1" xfId="1" applyFont="1" applyFill="1" applyBorder="1" applyAlignment="1" applyProtection="1">
      <alignment horizontal="justify" vertical="center" wrapText="1"/>
      <protection locked="0"/>
    </xf>
    <xf numFmtId="0" fontId="14" fillId="9" borderId="1" xfId="1" applyFont="1" applyFill="1" applyBorder="1" applyAlignment="1" applyProtection="1">
      <alignment horizontal="center" vertical="center" wrapText="1"/>
    </xf>
    <xf numFmtId="0" fontId="14" fillId="3" borderId="1" xfId="1" applyFont="1" applyFill="1" applyBorder="1" applyAlignment="1">
      <alignment horizontal="center" vertical="center" wrapText="1"/>
    </xf>
    <xf numFmtId="164" fontId="14" fillId="0" borderId="5" xfId="1" applyNumberFormat="1" applyFont="1" applyFill="1" applyBorder="1" applyAlignment="1" applyProtection="1">
      <alignment horizontal="center" vertical="center" wrapText="1"/>
      <protection locked="0"/>
    </xf>
    <xf numFmtId="0" fontId="14" fillId="0" borderId="5" xfId="1" applyFont="1" applyFill="1" applyBorder="1" applyAlignment="1" applyProtection="1">
      <alignment horizontal="center" vertical="center" wrapText="1"/>
      <protection locked="0"/>
    </xf>
    <xf numFmtId="0" fontId="14" fillId="3" borderId="1" xfId="1" applyFont="1" applyFill="1" applyBorder="1" applyAlignment="1">
      <alignment horizontal="center" vertical="center" wrapText="1"/>
    </xf>
    <xf numFmtId="164" fontId="23" fillId="0" borderId="5" xfId="1" applyNumberFormat="1" applyFont="1" applyFill="1" applyBorder="1" applyAlignment="1" applyProtection="1">
      <alignment horizontal="center" vertical="center" wrapText="1"/>
      <protection locked="0"/>
    </xf>
    <xf numFmtId="0" fontId="23" fillId="0" borderId="5" xfId="1" applyFont="1" applyFill="1" applyBorder="1" applyAlignment="1" applyProtection="1">
      <alignment horizontal="left" vertical="top" wrapText="1"/>
      <protection locked="0"/>
    </xf>
    <xf numFmtId="0" fontId="2" fillId="2" borderId="1" xfId="1" applyFont="1" applyFill="1" applyBorder="1" applyAlignment="1">
      <alignment horizontal="center" vertical="center" wrapText="1"/>
    </xf>
    <xf numFmtId="49" fontId="16" fillId="0" borderId="0" xfId="1" applyNumberFormat="1" applyFont="1" applyBorder="1" applyAlignment="1" applyProtection="1">
      <alignment horizontal="left" vertical="center"/>
      <protection locked="0"/>
    </xf>
    <xf numFmtId="0" fontId="2" fillId="2" borderId="1" xfId="1" applyFont="1" applyFill="1" applyBorder="1" applyAlignment="1">
      <alignment horizontal="center" vertical="center" wrapText="1"/>
    </xf>
    <xf numFmtId="0" fontId="2" fillId="0" borderId="1" xfId="1" applyFont="1" applyFill="1" applyBorder="1" applyAlignment="1">
      <alignment vertical="center"/>
    </xf>
    <xf numFmtId="0" fontId="2" fillId="2" borderId="1" xfId="1" applyFont="1" applyFill="1" applyBorder="1" applyAlignment="1">
      <alignment horizontal="center" vertical="center" wrapText="1"/>
    </xf>
    <xf numFmtId="0" fontId="16" fillId="0" borderId="0" xfId="1" applyFont="1" applyBorder="1" applyAlignment="1" applyProtection="1">
      <alignment horizontal="left" vertical="center"/>
    </xf>
    <xf numFmtId="0" fontId="23" fillId="0" borderId="0" xfId="1" applyFont="1" applyFill="1" applyBorder="1" applyAlignment="1" applyProtection="1">
      <alignment vertical="center" wrapText="1"/>
      <protection locked="0"/>
    </xf>
    <xf numFmtId="0" fontId="14" fillId="0" borderId="0" xfId="1" applyFont="1" applyFill="1" applyBorder="1" applyAlignment="1" applyProtection="1">
      <alignment vertical="center" wrapText="1"/>
      <protection locked="0"/>
    </xf>
    <xf numFmtId="0" fontId="23" fillId="0" borderId="9" xfId="1" applyFont="1" applyFill="1" applyBorder="1" applyAlignment="1" applyProtection="1">
      <alignment horizontal="center" vertical="center" wrapText="1"/>
      <protection locked="0"/>
    </xf>
    <xf numFmtId="0" fontId="23" fillId="0" borderId="16" xfId="1" applyFont="1" applyFill="1" applyBorder="1" applyAlignment="1" applyProtection="1">
      <alignment vertical="center" wrapText="1"/>
      <protection locked="0"/>
    </xf>
    <xf numFmtId="0" fontId="2" fillId="2" borderId="1" xfId="1" applyFont="1" applyFill="1" applyBorder="1" applyAlignment="1">
      <alignment horizontal="center" vertical="center" wrapText="1"/>
    </xf>
    <xf numFmtId="0" fontId="23" fillId="0" borderId="5" xfId="1" applyFont="1" applyFill="1" applyBorder="1" applyAlignment="1" applyProtection="1">
      <alignment horizontal="left" vertical="center" wrapText="1"/>
      <protection locked="0"/>
    </xf>
    <xf numFmtId="0" fontId="14" fillId="0" borderId="1" xfId="1" applyFont="1" applyFill="1" applyBorder="1" applyAlignment="1" applyProtection="1">
      <alignment horizontal="center" vertical="center" wrapText="1"/>
      <protection locked="0"/>
    </xf>
    <xf numFmtId="0" fontId="14" fillId="0" borderId="1" xfId="1" applyFont="1" applyFill="1" applyBorder="1" applyAlignment="1" applyProtection="1">
      <alignment horizontal="justify" vertical="center" wrapText="1"/>
      <protection locked="0"/>
    </xf>
    <xf numFmtId="0" fontId="23" fillId="0" borderId="1" xfId="1" applyFont="1" applyFill="1" applyBorder="1" applyAlignment="1" applyProtection="1">
      <alignment horizontal="center" vertical="center" wrapText="1"/>
      <protection locked="0"/>
    </xf>
    <xf numFmtId="0" fontId="14" fillId="3" borderId="1" xfId="1" applyNumberFormat="1" applyFont="1" applyFill="1" applyBorder="1" applyAlignment="1" applyProtection="1">
      <alignment horizontal="left" vertical="center" wrapText="1"/>
    </xf>
    <xf numFmtId="0" fontId="14" fillId="3" borderId="1" xfId="1" applyNumberFormat="1" applyFont="1" applyFill="1" applyBorder="1" applyAlignment="1" applyProtection="1">
      <alignment horizontal="center" vertical="center" wrapText="1"/>
    </xf>
    <xf numFmtId="0" fontId="14" fillId="3" borderId="1" xfId="1" applyNumberFormat="1" applyFont="1" applyFill="1" applyBorder="1" applyAlignment="1" applyProtection="1">
      <alignment horizontal="center" vertical="center" wrapText="1"/>
    </xf>
    <xf numFmtId="0" fontId="17" fillId="3" borderId="14" xfId="1" applyFont="1" applyFill="1" applyBorder="1" applyAlignment="1" applyProtection="1">
      <alignment horizontal="left" vertical="center" wrapText="1"/>
      <protection locked="0"/>
    </xf>
    <xf numFmtId="0" fontId="14" fillId="3" borderId="1" xfId="1" applyFont="1" applyFill="1" applyBorder="1" applyAlignment="1" applyProtection="1">
      <alignment horizontal="left" vertical="center" wrapText="1"/>
      <protection locked="0"/>
    </xf>
    <xf numFmtId="0" fontId="14" fillId="3" borderId="5" xfId="1" applyFont="1" applyFill="1" applyBorder="1" applyAlignment="1" applyProtection="1">
      <alignment horizontal="left" vertical="center" wrapText="1"/>
      <protection locked="0"/>
    </xf>
    <xf numFmtId="0" fontId="14" fillId="3" borderId="1" xfId="1" applyFont="1" applyFill="1" applyBorder="1" applyAlignment="1" applyProtection="1">
      <alignment vertical="center" wrapText="1"/>
      <protection locked="0"/>
    </xf>
    <xf numFmtId="164" fontId="23" fillId="0" borderId="5" xfId="1" applyNumberFormat="1" applyFont="1" applyFill="1" applyBorder="1" applyAlignment="1" applyProtection="1">
      <alignment horizontal="center" vertical="center" wrapText="1"/>
      <protection locked="0"/>
    </xf>
    <xf numFmtId="164" fontId="23" fillId="0" borderId="5" xfId="1" applyNumberFormat="1" applyFont="1" applyFill="1" applyBorder="1" applyAlignment="1" applyProtection="1">
      <alignment horizontal="center" vertical="center" wrapText="1"/>
      <protection locked="0"/>
    </xf>
    <xf numFmtId="0" fontId="23" fillId="0" borderId="5" xfId="1" applyFont="1" applyFill="1" applyBorder="1" applyAlignment="1" applyProtection="1">
      <alignment horizontal="justify" vertical="center" wrapText="1"/>
      <protection locked="0"/>
    </xf>
    <xf numFmtId="0" fontId="2" fillId="2" borderId="1" xfId="1" applyFont="1" applyFill="1" applyBorder="1" applyAlignment="1">
      <alignment horizontal="center" vertical="center" wrapText="1"/>
    </xf>
    <xf numFmtId="0" fontId="7" fillId="4" borderId="20" xfId="1" applyFont="1" applyFill="1" applyBorder="1" applyAlignment="1">
      <alignment horizontal="center" vertical="center" wrapText="1" readingOrder="1"/>
    </xf>
    <xf numFmtId="0" fontId="2" fillId="2" borderId="12"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3" fillId="0" borderId="1" xfId="1" applyFont="1" applyFill="1" applyBorder="1" applyAlignment="1" applyProtection="1">
      <alignment horizontal="center" vertical="center" wrapText="1"/>
      <protection locked="0"/>
    </xf>
    <xf numFmtId="0" fontId="17" fillId="0" borderId="5" xfId="5" applyFont="1" applyFill="1" applyBorder="1" applyAlignment="1" applyProtection="1">
      <alignment vertical="center" wrapText="1"/>
      <protection locked="0"/>
    </xf>
    <xf numFmtId="0" fontId="17" fillId="0" borderId="6" xfId="5" applyFont="1" applyFill="1" applyBorder="1" applyAlignment="1" applyProtection="1">
      <alignment vertical="center" wrapText="1"/>
      <protection locked="0"/>
    </xf>
    <xf numFmtId="0" fontId="14" fillId="0" borderId="1" xfId="1" applyFont="1" applyFill="1" applyBorder="1" applyAlignment="1" applyProtection="1">
      <alignment horizontal="center" vertical="center" wrapText="1"/>
      <protection locked="0"/>
    </xf>
    <xf numFmtId="0" fontId="14" fillId="0" borderId="5" xfId="1" applyFont="1" applyFill="1" applyBorder="1" applyAlignment="1" applyProtection="1">
      <alignment horizontal="left" vertical="center" wrapText="1"/>
      <protection locked="0"/>
    </xf>
    <xf numFmtId="0" fontId="23" fillId="0" borderId="5" xfId="1" applyFont="1" applyFill="1" applyBorder="1" applyAlignment="1" applyProtection="1">
      <alignment horizontal="left" vertical="center" wrapText="1"/>
      <protection locked="0"/>
    </xf>
    <xf numFmtId="0" fontId="16" fillId="0" borderId="1" xfId="1" applyFont="1" applyFill="1" applyBorder="1" applyAlignment="1" applyProtection="1">
      <alignment horizontal="left" vertical="center" wrapText="1"/>
      <protection locked="0"/>
    </xf>
    <xf numFmtId="0" fontId="14" fillId="3" borderId="5" xfId="1" applyFont="1" applyFill="1" applyBorder="1" applyAlignment="1" applyProtection="1">
      <alignment horizontal="left" vertical="center" wrapText="1"/>
      <protection locked="0"/>
    </xf>
    <xf numFmtId="0" fontId="1" fillId="0" borderId="1" xfId="0" applyFont="1" applyBorder="1" applyAlignment="1" applyProtection="1">
      <alignment horizontal="justify" vertical="center" wrapText="1"/>
      <protection locked="0"/>
    </xf>
    <xf numFmtId="0" fontId="1" fillId="0" borderId="1" xfId="0" quotePrefix="1" applyFont="1" applyBorder="1" applyAlignment="1" applyProtection="1">
      <alignment horizontal="justify" vertical="center" wrapText="1"/>
      <protection locked="0"/>
    </xf>
    <xf numFmtId="0" fontId="23" fillId="0" borderId="5" xfId="1" applyFont="1" applyFill="1" applyBorder="1" applyAlignment="1" applyProtection="1">
      <alignment horizontal="left" vertical="center" wrapText="1"/>
      <protection locked="0"/>
    </xf>
    <xf numFmtId="0" fontId="23" fillId="0" borderId="5" xfId="1" applyFont="1" applyFill="1" applyBorder="1" applyAlignment="1" applyProtection="1">
      <alignment horizontal="left" vertical="center" wrapText="1"/>
      <protection locked="0"/>
    </xf>
    <xf numFmtId="0" fontId="23" fillId="0" borderId="1" xfId="0" applyFont="1" applyFill="1" applyBorder="1" applyAlignment="1" applyProtection="1">
      <alignment vertical="center" wrapText="1"/>
      <protection locked="0"/>
    </xf>
    <xf numFmtId="0" fontId="23" fillId="0" borderId="5" xfId="1" applyFont="1" applyFill="1" applyBorder="1" applyAlignment="1" applyProtection="1">
      <alignment horizontal="left" vertical="center" wrapText="1"/>
      <protection locked="0"/>
    </xf>
    <xf numFmtId="0" fontId="2" fillId="0" borderId="0" xfId="1" applyFont="1" applyFill="1" applyAlignment="1">
      <alignment horizontal="center" vertical="center" wrapText="1"/>
    </xf>
    <xf numFmtId="0" fontId="14" fillId="0" borderId="5" xfId="1" applyFont="1" applyFill="1" applyBorder="1" applyAlignment="1" applyProtection="1">
      <alignment horizontal="center" vertical="center" wrapText="1"/>
      <protection locked="0"/>
    </xf>
    <xf numFmtId="0" fontId="14" fillId="0" borderId="5" xfId="1" applyFont="1" applyFill="1" applyBorder="1" applyAlignment="1" applyProtection="1">
      <alignment horizontal="center" vertical="center" wrapText="1"/>
      <protection locked="0"/>
    </xf>
    <xf numFmtId="0" fontId="14" fillId="3" borderId="5" xfId="1" applyFont="1" applyFill="1" applyBorder="1" applyAlignment="1">
      <alignment horizontal="left" vertical="center" wrapText="1"/>
    </xf>
    <xf numFmtId="164" fontId="14" fillId="0" borderId="5" xfId="1" applyNumberFormat="1" applyFont="1" applyFill="1" applyBorder="1" applyAlignment="1" applyProtection="1">
      <alignment horizontal="center" vertical="center" wrapText="1"/>
      <protection locked="0"/>
    </xf>
    <xf numFmtId="164" fontId="14" fillId="0" borderId="5" xfId="1" applyNumberFormat="1" applyFont="1" applyFill="1" applyBorder="1" applyAlignment="1" applyProtection="1">
      <alignment horizontal="center" vertical="center" wrapText="1"/>
      <protection locked="0"/>
    </xf>
    <xf numFmtId="0" fontId="2" fillId="0" borderId="1" xfId="1" applyFont="1" applyBorder="1" applyAlignment="1">
      <alignment horizontal="center" vertical="center"/>
    </xf>
    <xf numFmtId="0" fontId="2" fillId="2" borderId="1" xfId="1" applyFont="1" applyFill="1" applyBorder="1" applyAlignment="1">
      <alignment horizontal="center" vertical="center" wrapText="1"/>
    </xf>
    <xf numFmtId="0" fontId="23" fillId="0" borderId="1" xfId="1" applyFont="1" applyFill="1" applyBorder="1" applyAlignment="1" applyProtection="1">
      <alignment horizontal="center" vertical="center" wrapText="1"/>
      <protection locked="0"/>
    </xf>
    <xf numFmtId="0" fontId="2" fillId="2" borderId="1" xfId="1" applyFont="1" applyFill="1" applyBorder="1" applyAlignment="1">
      <alignment horizontal="center" vertical="center" wrapText="1"/>
    </xf>
    <xf numFmtId="0" fontId="7" fillId="4" borderId="17" xfId="1" applyFont="1" applyFill="1" applyBorder="1" applyAlignment="1">
      <alignment horizontal="center" vertical="center" wrapText="1" readingOrder="1"/>
    </xf>
    <xf numFmtId="0" fontId="7" fillId="4" borderId="20" xfId="1" applyFont="1" applyFill="1" applyBorder="1" applyAlignment="1">
      <alignment horizontal="center" vertical="center" wrapText="1" readingOrder="1"/>
    </xf>
    <xf numFmtId="0" fontId="7" fillId="4" borderId="18" xfId="1" applyFont="1" applyFill="1" applyBorder="1" applyAlignment="1">
      <alignment horizontal="center" vertical="center" readingOrder="1"/>
    </xf>
    <xf numFmtId="0" fontId="7" fillId="4" borderId="19" xfId="1" applyFont="1" applyFill="1" applyBorder="1" applyAlignment="1">
      <alignment horizontal="center" vertical="center" readingOrder="1"/>
    </xf>
    <xf numFmtId="0" fontId="2" fillId="2" borderId="5"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4" fillId="0" borderId="5" xfId="4" applyFont="1" applyFill="1" applyBorder="1" applyAlignment="1" applyProtection="1">
      <alignment horizontal="center" vertical="center" wrapText="1"/>
      <protection locked="0"/>
    </xf>
    <xf numFmtId="0" fontId="24" fillId="0" borderId="6" xfId="4" applyFont="1" applyFill="1" applyBorder="1" applyAlignment="1" applyProtection="1">
      <alignment horizontal="center" vertical="center" wrapText="1"/>
      <protection locked="0"/>
    </xf>
    <xf numFmtId="0" fontId="3" fillId="0" borderId="1" xfId="1" applyFont="1" applyBorder="1" applyAlignment="1">
      <alignment horizontal="center" vertical="center"/>
    </xf>
    <xf numFmtId="49" fontId="2" fillId="0" borderId="5" xfId="1" applyNumberFormat="1" applyFont="1" applyBorder="1" applyAlignment="1">
      <alignment horizontal="left" vertical="center"/>
    </xf>
    <xf numFmtId="49" fontId="2" fillId="0" borderId="12" xfId="1" applyNumberFormat="1" applyFont="1" applyBorder="1" applyAlignment="1">
      <alignment horizontal="left" vertical="center"/>
    </xf>
    <xf numFmtId="49" fontId="2" fillId="0" borderId="6" xfId="1" applyNumberFormat="1" applyFont="1" applyBorder="1" applyAlignment="1">
      <alignment horizontal="left" vertical="center"/>
    </xf>
    <xf numFmtId="0" fontId="5" fillId="0" borderId="1" xfId="1" applyFont="1" applyFill="1" applyBorder="1" applyAlignment="1">
      <alignment horizontal="center" vertical="center"/>
    </xf>
    <xf numFmtId="0" fontId="3" fillId="2" borderId="5" xfId="1" applyFont="1" applyFill="1" applyBorder="1" applyAlignment="1">
      <alignment horizontal="center" vertical="center" wrapText="1"/>
    </xf>
    <xf numFmtId="0" fontId="3" fillId="2" borderId="12"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0" borderId="5" xfId="1" applyFont="1" applyBorder="1" applyAlignment="1">
      <alignment horizontal="left" vertical="center"/>
    </xf>
    <xf numFmtId="0" fontId="2" fillId="0" borderId="12" xfId="1" applyFont="1" applyBorder="1" applyAlignment="1">
      <alignment horizontal="left" vertical="center"/>
    </xf>
    <xf numFmtId="0" fontId="2" fillId="0" borderId="6" xfId="1" applyFont="1" applyBorder="1" applyAlignment="1">
      <alignment horizontal="left" vertical="center"/>
    </xf>
    <xf numFmtId="0" fontId="2" fillId="0" borderId="5" xfId="1" applyNumberFormat="1" applyFont="1" applyBorder="1" applyAlignment="1">
      <alignment horizontal="left" vertical="top" wrapText="1"/>
    </xf>
    <xf numFmtId="0" fontId="2" fillId="0" borderId="12" xfId="1" applyNumberFormat="1" applyFont="1" applyBorder="1" applyAlignment="1">
      <alignment horizontal="left" vertical="top" wrapText="1"/>
    </xf>
    <xf numFmtId="0" fontId="2" fillId="0" borderId="6" xfId="1" applyNumberFormat="1" applyFont="1" applyBorder="1" applyAlignment="1">
      <alignment horizontal="left" vertical="top" wrapText="1"/>
    </xf>
    <xf numFmtId="0" fontId="2" fillId="0" borderId="1" xfId="1" applyFont="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1" xfId="1" applyFont="1" applyFill="1" applyBorder="1" applyAlignment="1">
      <alignment horizontal="center" vertical="center"/>
    </xf>
    <xf numFmtId="0" fontId="4" fillId="0" borderId="5" xfId="1" applyFont="1" applyFill="1" applyBorder="1" applyAlignment="1">
      <alignment horizontal="left" vertical="center" wrapText="1"/>
    </xf>
    <xf numFmtId="0" fontId="4" fillId="0" borderId="6" xfId="1" applyFont="1" applyFill="1" applyBorder="1" applyAlignment="1">
      <alignment horizontal="left" vertical="center" wrapText="1"/>
    </xf>
    <xf numFmtId="165" fontId="16" fillId="0" borderId="5" xfId="1" applyNumberFormat="1" applyFont="1" applyBorder="1" applyAlignment="1" applyProtection="1">
      <alignment horizontal="left" vertical="center"/>
    </xf>
    <xf numFmtId="165" fontId="16" fillId="0" borderId="12" xfId="1" applyNumberFormat="1" applyFont="1" applyBorder="1" applyAlignment="1" applyProtection="1">
      <alignment horizontal="left" vertical="center"/>
    </xf>
    <xf numFmtId="165" fontId="16" fillId="0" borderId="6" xfId="1" applyNumberFormat="1" applyFont="1" applyBorder="1" applyAlignment="1" applyProtection="1">
      <alignment horizontal="left" vertical="center"/>
    </xf>
    <xf numFmtId="0" fontId="17" fillId="0" borderId="5" xfId="0" applyFont="1" applyFill="1" applyBorder="1" applyAlignment="1" applyProtection="1">
      <alignment horizontal="center" vertical="center" wrapText="1"/>
      <protection locked="0"/>
    </xf>
    <xf numFmtId="0" fontId="17" fillId="0" borderId="6" xfId="0" applyFont="1" applyFill="1" applyBorder="1" applyAlignment="1" applyProtection="1">
      <alignment horizontal="center" vertical="center" wrapText="1"/>
      <protection locked="0"/>
    </xf>
    <xf numFmtId="0" fontId="16" fillId="0" borderId="5" xfId="1" applyFont="1" applyBorder="1" applyAlignment="1" applyProtection="1">
      <alignment horizontal="left" vertical="center"/>
    </xf>
    <xf numFmtId="0" fontId="16" fillId="0" borderId="12" xfId="1" applyFont="1" applyBorder="1" applyAlignment="1" applyProtection="1">
      <alignment horizontal="left" vertical="center"/>
    </xf>
    <xf numFmtId="0" fontId="16" fillId="0" borderId="6" xfId="1" applyFont="1" applyBorder="1" applyAlignment="1" applyProtection="1">
      <alignment horizontal="left" vertical="center"/>
    </xf>
    <xf numFmtId="49" fontId="16" fillId="0" borderId="5" xfId="1" applyNumberFormat="1" applyFont="1" applyBorder="1" applyAlignment="1" applyProtection="1">
      <alignment horizontal="left" vertical="center"/>
      <protection locked="0"/>
    </xf>
    <xf numFmtId="49" fontId="16" fillId="0" borderId="12" xfId="1" applyNumberFormat="1" applyFont="1" applyBorder="1" applyAlignment="1" applyProtection="1">
      <alignment horizontal="left" vertical="center"/>
      <protection locked="0"/>
    </xf>
    <xf numFmtId="49" fontId="16" fillId="0" borderId="6" xfId="1" applyNumberFormat="1" applyFont="1" applyBorder="1" applyAlignment="1" applyProtection="1">
      <alignment horizontal="left" vertical="center"/>
      <protection locked="0"/>
    </xf>
    <xf numFmtId="0" fontId="17" fillId="0" borderId="5" xfId="2" applyFont="1" applyFill="1" applyBorder="1" applyAlignment="1" applyProtection="1">
      <alignment horizontal="center" vertical="center" wrapText="1"/>
      <protection locked="0"/>
    </xf>
    <xf numFmtId="0" fontId="17" fillId="0" borderId="6" xfId="2" applyFont="1" applyFill="1" applyBorder="1" applyAlignment="1" applyProtection="1">
      <alignment horizontal="center" vertical="center" wrapText="1"/>
      <protection locked="0"/>
    </xf>
    <xf numFmtId="0" fontId="2" fillId="2" borderId="2" xfId="1" applyFont="1" applyFill="1" applyBorder="1" applyAlignment="1">
      <alignment horizontal="center" vertical="center" wrapText="1"/>
    </xf>
    <xf numFmtId="0" fontId="24" fillId="0" borderId="5" xfId="0"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23" fillId="3" borderId="13" xfId="1" applyFont="1" applyFill="1" applyBorder="1" applyAlignment="1">
      <alignment horizontal="left" vertical="top" wrapText="1"/>
    </xf>
    <xf numFmtId="0" fontId="23" fillId="3" borderId="15" xfId="1" applyFont="1" applyFill="1" applyBorder="1" applyAlignment="1">
      <alignment horizontal="left" vertical="top" wrapText="1"/>
    </xf>
    <xf numFmtId="0" fontId="23" fillId="3" borderId="16" xfId="1" applyFont="1" applyFill="1" applyBorder="1" applyAlignment="1">
      <alignment horizontal="left" vertical="top" wrapText="1"/>
    </xf>
    <xf numFmtId="0" fontId="23" fillId="3" borderId="13" xfId="1" applyFont="1" applyFill="1" applyBorder="1" applyAlignment="1" applyProtection="1">
      <alignment horizontal="center" vertical="center" wrapText="1"/>
      <protection locked="0"/>
    </xf>
    <xf numFmtId="0" fontId="23" fillId="3" borderId="16" xfId="1" applyFont="1" applyFill="1" applyBorder="1" applyAlignment="1" applyProtection="1">
      <alignment horizontal="center" vertical="center" wrapText="1"/>
      <protection locked="0"/>
    </xf>
    <xf numFmtId="0" fontId="7" fillId="4" borderId="1" xfId="1" applyFont="1" applyFill="1" applyBorder="1" applyAlignment="1">
      <alignment horizontal="center" vertical="center" wrapText="1" readingOrder="1"/>
    </xf>
    <xf numFmtId="0" fontId="7" fillId="4" borderId="1" xfId="1" applyFont="1" applyFill="1" applyBorder="1" applyAlignment="1">
      <alignment horizontal="center" vertical="center" readingOrder="1"/>
    </xf>
    <xf numFmtId="0" fontId="15" fillId="0" borderId="5"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wrapText="1"/>
      <protection locked="0"/>
    </xf>
    <xf numFmtId="0" fontId="19" fillId="0" borderId="1" xfId="1" applyFont="1" applyFill="1" applyBorder="1" applyAlignment="1" applyProtection="1">
      <alignment horizontal="left" vertical="center" wrapText="1"/>
    </xf>
    <xf numFmtId="0" fontId="17" fillId="0" borderId="1" xfId="2" applyFont="1" applyFill="1" applyBorder="1" applyAlignment="1" applyProtection="1">
      <alignment horizontal="center" vertical="center" wrapText="1"/>
      <protection locked="0"/>
    </xf>
    <xf numFmtId="0" fontId="7" fillId="4" borderId="24" xfId="1" applyFont="1" applyFill="1" applyBorder="1" applyAlignment="1">
      <alignment horizontal="center" vertical="center" wrapText="1" readingOrder="1"/>
    </xf>
    <xf numFmtId="0" fontId="7" fillId="4" borderId="25" xfId="1" applyFont="1" applyFill="1" applyBorder="1" applyAlignment="1">
      <alignment horizontal="center" vertical="center" readingOrder="1"/>
    </xf>
    <xf numFmtId="0" fontId="19" fillId="0" borderId="5" xfId="2" applyFont="1" applyFill="1" applyBorder="1" applyAlignment="1" applyProtection="1">
      <alignment horizontal="center" vertical="center" wrapText="1"/>
      <protection locked="0"/>
    </xf>
    <xf numFmtId="0" fontId="19" fillId="0" borderId="6" xfId="2" applyFont="1" applyFill="1" applyBorder="1" applyAlignment="1" applyProtection="1">
      <alignment horizontal="center" vertical="center" wrapText="1"/>
      <protection locked="0"/>
    </xf>
    <xf numFmtId="0" fontId="17" fillId="9" borderId="5" xfId="2" applyFont="1" applyFill="1" applyBorder="1" applyAlignment="1" applyProtection="1">
      <alignment horizontal="center" vertical="center" wrapText="1"/>
      <protection locked="0"/>
    </xf>
    <xf numFmtId="0" fontId="17" fillId="9" borderId="6" xfId="2" applyFont="1" applyFill="1" applyBorder="1" applyAlignment="1" applyProtection="1">
      <alignment horizontal="center" vertical="center" wrapText="1"/>
      <protection locked="0"/>
    </xf>
    <xf numFmtId="0" fontId="2" fillId="0" borderId="0" xfId="1" applyFont="1" applyAlignment="1">
      <alignment horizontal="center" vertical="center" wrapText="1"/>
    </xf>
    <xf numFmtId="0" fontId="2" fillId="0" borderId="22" xfId="1" applyFont="1" applyBorder="1" applyAlignment="1">
      <alignment horizontal="center" vertical="center" wrapText="1"/>
    </xf>
    <xf numFmtId="0" fontId="7" fillId="4" borderId="26" xfId="1" applyFont="1" applyFill="1" applyBorder="1" applyAlignment="1">
      <alignment horizontal="center" vertical="center" readingOrder="1"/>
    </xf>
    <xf numFmtId="0" fontId="17" fillId="3" borderId="5" xfId="0" applyFont="1" applyFill="1" applyBorder="1" applyAlignment="1" applyProtection="1">
      <alignment horizontal="center" vertical="center" wrapText="1"/>
      <protection locked="0"/>
    </xf>
    <xf numFmtId="0" fontId="17" fillId="3" borderId="6" xfId="0" applyFont="1" applyFill="1" applyBorder="1" applyAlignment="1" applyProtection="1">
      <alignment horizontal="center" vertical="center" wrapText="1"/>
      <protection locked="0"/>
    </xf>
    <xf numFmtId="0" fontId="17" fillId="3" borderId="5" xfId="4" applyFont="1" applyFill="1" applyBorder="1" applyAlignment="1" applyProtection="1">
      <alignment horizontal="center" vertical="center" wrapText="1"/>
      <protection locked="0"/>
    </xf>
    <xf numFmtId="0" fontId="17" fillId="3" borderId="6" xfId="4" applyFont="1" applyFill="1" applyBorder="1" applyAlignment="1" applyProtection="1">
      <alignment horizontal="center" vertical="center" wrapText="1"/>
      <protection locked="0"/>
    </xf>
    <xf numFmtId="0" fontId="2" fillId="0" borderId="13" xfId="1" applyFont="1" applyBorder="1" applyAlignment="1">
      <alignment horizontal="center" vertical="center"/>
    </xf>
    <xf numFmtId="0" fontId="2" fillId="0" borderId="16" xfId="1" applyFont="1" applyBorder="1" applyAlignment="1">
      <alignment horizontal="center" vertical="center"/>
    </xf>
    <xf numFmtId="0" fontId="23" fillId="0" borderId="13" xfId="1" applyNumberFormat="1" applyFont="1" applyBorder="1" applyAlignment="1" applyProtection="1">
      <alignment horizontal="center" vertical="center" wrapText="1"/>
    </xf>
    <xf numFmtId="0" fontId="23" fillId="0" borderId="16" xfId="1" applyNumberFormat="1" applyFont="1" applyBorder="1" applyAlignment="1" applyProtection="1">
      <alignment horizontal="center" vertical="center" wrapText="1"/>
    </xf>
    <xf numFmtId="0" fontId="24" fillId="0" borderId="1" xfId="4" applyFont="1" applyFill="1" applyBorder="1" applyAlignment="1" applyProtection="1">
      <alignment horizontal="center" vertical="center" wrapText="1"/>
      <protection locked="0"/>
    </xf>
    <xf numFmtId="0" fontId="23" fillId="0" borderId="1" xfId="1" applyFont="1" applyFill="1" applyBorder="1" applyAlignment="1" applyProtection="1">
      <alignment horizontal="center" vertical="center" wrapText="1"/>
      <protection locked="0"/>
    </xf>
    <xf numFmtId="164" fontId="23" fillId="0" borderId="1" xfId="1" applyNumberFormat="1" applyFont="1" applyFill="1" applyBorder="1" applyAlignment="1" applyProtection="1">
      <alignment horizontal="center" vertical="center" wrapText="1"/>
      <protection locked="0"/>
    </xf>
    <xf numFmtId="0" fontId="23" fillId="0" borderId="13" xfId="1" applyFont="1" applyBorder="1" applyAlignment="1">
      <alignment horizontal="left" vertical="center" wrapText="1"/>
    </xf>
    <xf numFmtId="0" fontId="2" fillId="0" borderId="16" xfId="1" applyFont="1" applyBorder="1" applyAlignment="1">
      <alignment horizontal="left" vertical="center" wrapText="1"/>
    </xf>
    <xf numFmtId="0" fontId="2" fillId="0" borderId="13" xfId="1" applyFont="1" applyBorder="1" applyAlignment="1">
      <alignment horizontal="center" vertical="center" wrapText="1"/>
    </xf>
    <xf numFmtId="0" fontId="2" fillId="0" borderId="16" xfId="1" applyFont="1" applyBorder="1" applyAlignment="1">
      <alignment horizontal="center" vertical="center" wrapText="1"/>
    </xf>
    <xf numFmtId="0" fontId="23" fillId="6" borderId="13" xfId="1" applyFont="1" applyFill="1" applyBorder="1" applyAlignment="1" applyProtection="1">
      <alignment horizontal="center" vertical="center" wrapText="1"/>
    </xf>
    <xf numFmtId="0" fontId="23" fillId="6" borderId="16" xfId="1" applyFont="1" applyFill="1" applyBorder="1" applyAlignment="1" applyProtection="1">
      <alignment horizontal="center" vertical="center" wrapText="1"/>
    </xf>
    <xf numFmtId="0" fontId="23" fillId="0" borderId="13" xfId="1" applyFont="1" applyBorder="1" applyAlignment="1" applyProtection="1">
      <alignment horizontal="center" vertical="center" wrapText="1"/>
      <protection locked="0"/>
    </xf>
    <xf numFmtId="0" fontId="23" fillId="0" borderId="16" xfId="1" applyFont="1" applyBorder="1" applyAlignment="1" applyProtection="1">
      <alignment horizontal="center" vertical="center" wrapText="1"/>
      <protection locked="0"/>
    </xf>
    <xf numFmtId="0" fontId="23" fillId="0" borderId="13" xfId="1" applyFont="1" applyFill="1" applyBorder="1" applyAlignment="1" applyProtection="1">
      <alignment horizontal="center" vertical="center" wrapText="1"/>
      <protection locked="0"/>
    </xf>
    <xf numFmtId="0" fontId="23" fillId="0" borderId="16" xfId="1" applyFont="1" applyFill="1" applyBorder="1" applyAlignment="1" applyProtection="1">
      <alignment horizontal="center" vertical="center" wrapText="1"/>
      <protection locked="0"/>
    </xf>
    <xf numFmtId="0" fontId="17" fillId="0" borderId="5" xfId="1" applyFont="1" applyFill="1" applyBorder="1" applyAlignment="1" applyProtection="1">
      <alignment horizontal="center" vertical="center" wrapText="1"/>
      <protection locked="0"/>
    </xf>
    <xf numFmtId="0" fontId="17" fillId="0" borderId="6" xfId="1" applyFont="1" applyFill="1" applyBorder="1" applyAlignment="1" applyProtection="1">
      <alignment horizontal="center" vertical="center" wrapText="1"/>
      <protection locked="0"/>
    </xf>
    <xf numFmtId="0" fontId="23" fillId="0" borderId="5" xfId="1" applyFont="1" applyBorder="1" applyAlignment="1" applyProtection="1">
      <alignment horizontal="center" vertical="center" wrapText="1"/>
      <protection locked="0"/>
    </xf>
    <xf numFmtId="0" fontId="23" fillId="0" borderId="6" xfId="1" applyFont="1" applyBorder="1" applyAlignment="1">
      <alignment horizontal="center" vertical="center" wrapText="1"/>
    </xf>
    <xf numFmtId="14" fontId="23" fillId="0" borderId="1" xfId="1" applyNumberFormat="1" applyFont="1" applyFill="1" applyBorder="1" applyAlignment="1" applyProtection="1">
      <alignment horizontal="left" vertical="center" wrapText="1"/>
      <protection locked="0"/>
    </xf>
    <xf numFmtId="0" fontId="23" fillId="3" borderId="1" xfId="1" applyFont="1" applyFill="1" applyBorder="1" applyAlignment="1">
      <alignment horizontal="left" vertical="top" wrapText="1"/>
    </xf>
  </cellXfs>
  <cellStyles count="16">
    <cellStyle name="Normal" xfId="0" builtinId="0"/>
    <cellStyle name="Normal 2" xfId="1"/>
    <cellStyle name="Normal 2 2" xfId="6"/>
    <cellStyle name="Normal 2 4" xfId="7"/>
    <cellStyle name="Normal 3" xfId="2"/>
    <cellStyle name="Normal 3 2" xfId="3"/>
    <cellStyle name="Normal 3 3" xfId="5"/>
    <cellStyle name="Normal 4" xfId="4"/>
    <cellStyle name="Normal 4 2" xfId="8"/>
    <cellStyle name="Normal 5" xfId="9"/>
    <cellStyle name="Normal 5 2" xfId="11"/>
    <cellStyle name="Normal 5 2 2" xfId="15"/>
    <cellStyle name="Normal 5 3" xfId="13"/>
    <cellStyle name="Normal 6" xfId="10"/>
    <cellStyle name="Normal 6 2" xfId="14"/>
    <cellStyle name="Normal 7" xfId="12"/>
  </cellStyles>
  <dxfs count="120">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41"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externalLink" Target="externalLinks/externalLink2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2532151</xdr:colOff>
      <xdr:row>0</xdr:row>
      <xdr:rowOff>72159</xdr:rowOff>
    </xdr:from>
    <xdr:to>
      <xdr:col>3</xdr:col>
      <xdr:colOff>277103</xdr:colOff>
      <xdr:row>3</xdr:row>
      <xdr:rowOff>173208</xdr:rowOff>
    </xdr:to>
    <xdr:pic>
      <xdr:nvPicPr>
        <xdr:cNvPr id="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2532151" y="72159"/>
          <a:ext cx="3193252" cy="920199"/>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2532151</xdr:colOff>
      <xdr:row>0</xdr:row>
      <xdr:rowOff>72159</xdr:rowOff>
    </xdr:from>
    <xdr:to>
      <xdr:col>3</xdr:col>
      <xdr:colOff>277103</xdr:colOff>
      <xdr:row>3</xdr:row>
      <xdr:rowOff>173208</xdr:rowOff>
    </xdr:to>
    <xdr:pic>
      <xdr:nvPicPr>
        <xdr:cNvPr id="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2532151" y="72159"/>
          <a:ext cx="3193252" cy="920199"/>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2532151</xdr:colOff>
      <xdr:row>0</xdr:row>
      <xdr:rowOff>72159</xdr:rowOff>
    </xdr:from>
    <xdr:to>
      <xdr:col>3</xdr:col>
      <xdr:colOff>277103</xdr:colOff>
      <xdr:row>3</xdr:row>
      <xdr:rowOff>173208</xdr:rowOff>
    </xdr:to>
    <xdr:pic>
      <xdr:nvPicPr>
        <xdr:cNvPr id="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2532151" y="72159"/>
          <a:ext cx="3193252" cy="920199"/>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2532151</xdr:colOff>
      <xdr:row>0</xdr:row>
      <xdr:rowOff>72159</xdr:rowOff>
    </xdr:from>
    <xdr:to>
      <xdr:col>3</xdr:col>
      <xdr:colOff>277103</xdr:colOff>
      <xdr:row>3</xdr:row>
      <xdr:rowOff>173208</xdr:rowOff>
    </xdr:to>
    <xdr:pic>
      <xdr:nvPicPr>
        <xdr:cNvPr id="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2532151" y="72159"/>
          <a:ext cx="3193252" cy="920199"/>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6929527</xdr:colOff>
      <xdr:row>0</xdr:row>
      <xdr:rowOff>72159</xdr:rowOff>
    </xdr:from>
    <xdr:to>
      <xdr:col>0</xdr:col>
      <xdr:colOff>10731501</xdr:colOff>
      <xdr:row>3</xdr:row>
      <xdr:rowOff>173208</xdr:rowOff>
    </xdr:to>
    <xdr:pic>
      <xdr:nvPicPr>
        <xdr:cNvPr id="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2309902" y="72159"/>
          <a:ext cx="1499" cy="920199"/>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2532151</xdr:colOff>
      <xdr:row>0</xdr:row>
      <xdr:rowOff>72159</xdr:rowOff>
    </xdr:from>
    <xdr:to>
      <xdr:col>3</xdr:col>
      <xdr:colOff>277103</xdr:colOff>
      <xdr:row>3</xdr:row>
      <xdr:rowOff>173208</xdr:rowOff>
    </xdr:to>
    <xdr:pic>
      <xdr:nvPicPr>
        <xdr:cNvPr id="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2532151" y="72159"/>
          <a:ext cx="3193252" cy="920199"/>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2532151</xdr:colOff>
      <xdr:row>0</xdr:row>
      <xdr:rowOff>72159</xdr:rowOff>
    </xdr:from>
    <xdr:to>
      <xdr:col>3</xdr:col>
      <xdr:colOff>277103</xdr:colOff>
      <xdr:row>3</xdr:row>
      <xdr:rowOff>173208</xdr:rowOff>
    </xdr:to>
    <xdr:pic>
      <xdr:nvPicPr>
        <xdr:cNvPr id="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2532151" y="72159"/>
          <a:ext cx="3193252" cy="920199"/>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2533650</xdr:colOff>
      <xdr:row>0</xdr:row>
      <xdr:rowOff>76200</xdr:rowOff>
    </xdr:from>
    <xdr:to>
      <xdr:col>3</xdr:col>
      <xdr:colOff>276225</xdr:colOff>
      <xdr:row>3</xdr:row>
      <xdr:rowOff>171450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76200"/>
          <a:ext cx="31908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2397213</xdr:colOff>
      <xdr:row>0</xdr:row>
      <xdr:rowOff>0</xdr:rowOff>
    </xdr:from>
    <xdr:to>
      <xdr:col>3</xdr:col>
      <xdr:colOff>142165</xdr:colOff>
      <xdr:row>3</xdr:row>
      <xdr:rowOff>101049</xdr:rowOff>
    </xdr:to>
    <xdr:pic>
      <xdr:nvPicPr>
        <xdr:cNvPr id="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2397213" y="0"/>
          <a:ext cx="5896765" cy="92654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2532151</xdr:colOff>
      <xdr:row>0</xdr:row>
      <xdr:rowOff>72159</xdr:rowOff>
    </xdr:from>
    <xdr:to>
      <xdr:col>3</xdr:col>
      <xdr:colOff>277103</xdr:colOff>
      <xdr:row>3</xdr:row>
      <xdr:rowOff>173208</xdr:rowOff>
    </xdr:to>
    <xdr:pic>
      <xdr:nvPicPr>
        <xdr:cNvPr id="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2532151" y="72159"/>
          <a:ext cx="3193252" cy="920199"/>
        </a:xfrm>
        <a:prstGeom prst="rect">
          <a:avLst/>
        </a:prstGeom>
        <a:noFill/>
        <a:ln w="9525">
          <a:noFill/>
          <a:miter lim="800000"/>
          <a:headEnd/>
          <a:tailEnd/>
        </a:ln>
      </xdr:spPr>
    </xdr:pic>
    <xdr:clientData/>
  </xdr:twoCellAnchor>
  <xdr:twoCellAnchor editAs="oneCell">
    <xdr:from>
      <xdr:col>24</xdr:col>
      <xdr:colOff>4706938</xdr:colOff>
      <xdr:row>17</xdr:row>
      <xdr:rowOff>515937</xdr:rowOff>
    </xdr:from>
    <xdr:to>
      <xdr:col>24</xdr:col>
      <xdr:colOff>10321841</xdr:colOff>
      <xdr:row>17</xdr:row>
      <xdr:rowOff>3905607</xdr:rowOff>
    </xdr:to>
    <xdr:pic>
      <xdr:nvPicPr>
        <xdr:cNvPr id="5" name="4 Imagen"/>
        <xdr:cNvPicPr>
          <a:picLocks noChangeAspect="1"/>
        </xdr:cNvPicPr>
      </xdr:nvPicPr>
      <xdr:blipFill>
        <a:blip xmlns:r="http://schemas.openxmlformats.org/officeDocument/2006/relationships" r:embed="rId2"/>
        <a:stretch>
          <a:fillRect/>
        </a:stretch>
      </xdr:blipFill>
      <xdr:spPr>
        <a:xfrm>
          <a:off x="56411813" y="8794750"/>
          <a:ext cx="5614903" cy="3389670"/>
        </a:xfrm>
        <a:prstGeom prst="rect">
          <a:avLst/>
        </a:prstGeom>
      </xdr:spPr>
    </xdr:pic>
    <xdr:clientData/>
  </xdr:twoCellAnchor>
  <xdr:twoCellAnchor editAs="oneCell">
    <xdr:from>
      <xdr:col>24</xdr:col>
      <xdr:colOff>79375</xdr:colOff>
      <xdr:row>17</xdr:row>
      <xdr:rowOff>3500439</xdr:rowOff>
    </xdr:from>
    <xdr:to>
      <xdr:col>24</xdr:col>
      <xdr:colOff>5688181</xdr:colOff>
      <xdr:row>18</xdr:row>
      <xdr:rowOff>703408</xdr:rowOff>
    </xdr:to>
    <xdr:pic>
      <xdr:nvPicPr>
        <xdr:cNvPr id="6" name="5 Imagen"/>
        <xdr:cNvPicPr>
          <a:picLocks noChangeAspect="1"/>
        </xdr:cNvPicPr>
      </xdr:nvPicPr>
      <xdr:blipFill>
        <a:blip xmlns:r="http://schemas.openxmlformats.org/officeDocument/2006/relationships" r:embed="rId3"/>
        <a:stretch>
          <a:fillRect/>
        </a:stretch>
      </xdr:blipFill>
      <xdr:spPr>
        <a:xfrm>
          <a:off x="51784250" y="11096627"/>
          <a:ext cx="5608806" cy="24020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2532151</xdr:colOff>
      <xdr:row>0</xdr:row>
      <xdr:rowOff>72159</xdr:rowOff>
    </xdr:from>
    <xdr:to>
      <xdr:col>3</xdr:col>
      <xdr:colOff>277103</xdr:colOff>
      <xdr:row>3</xdr:row>
      <xdr:rowOff>173208</xdr:rowOff>
    </xdr:to>
    <xdr:pic>
      <xdr:nvPicPr>
        <xdr:cNvPr id="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2532151" y="72159"/>
          <a:ext cx="3193252" cy="920199"/>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3590192</xdr:colOff>
      <xdr:row>0</xdr:row>
      <xdr:rowOff>64832</xdr:rowOff>
    </xdr:from>
    <xdr:to>
      <xdr:col>2</xdr:col>
      <xdr:colOff>1370135</xdr:colOff>
      <xdr:row>3</xdr:row>
      <xdr:rowOff>112009</xdr:rowOff>
    </xdr:to>
    <xdr:pic>
      <xdr:nvPicPr>
        <xdr:cNvPr id="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3590192" y="64832"/>
          <a:ext cx="4249616" cy="86046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933450</xdr:colOff>
      <xdr:row>0</xdr:row>
      <xdr:rowOff>190500</xdr:rowOff>
    </xdr:from>
    <xdr:to>
      <xdr:col>2</xdr:col>
      <xdr:colOff>2486025</xdr:colOff>
      <xdr:row>3</xdr:row>
      <xdr:rowOff>228600</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05350" y="190500"/>
          <a:ext cx="4248150"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2532151</xdr:colOff>
      <xdr:row>0</xdr:row>
      <xdr:rowOff>72159</xdr:rowOff>
    </xdr:from>
    <xdr:to>
      <xdr:col>3</xdr:col>
      <xdr:colOff>277103</xdr:colOff>
      <xdr:row>3</xdr:row>
      <xdr:rowOff>173208</xdr:rowOff>
    </xdr:to>
    <xdr:pic>
      <xdr:nvPicPr>
        <xdr:cNvPr id="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2532151" y="72159"/>
          <a:ext cx="3193252" cy="920199"/>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6929527</xdr:colOff>
      <xdr:row>0</xdr:row>
      <xdr:rowOff>72159</xdr:rowOff>
    </xdr:from>
    <xdr:to>
      <xdr:col>0</xdr:col>
      <xdr:colOff>10731501</xdr:colOff>
      <xdr:row>3</xdr:row>
      <xdr:rowOff>173208</xdr:rowOff>
    </xdr:to>
    <xdr:pic>
      <xdr:nvPicPr>
        <xdr:cNvPr id="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757327" y="72159"/>
          <a:ext cx="1499" cy="577299"/>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2532151</xdr:colOff>
      <xdr:row>0</xdr:row>
      <xdr:rowOff>72159</xdr:rowOff>
    </xdr:from>
    <xdr:to>
      <xdr:col>3</xdr:col>
      <xdr:colOff>277103</xdr:colOff>
      <xdr:row>3</xdr:row>
      <xdr:rowOff>173208</xdr:rowOff>
    </xdr:to>
    <xdr:pic>
      <xdr:nvPicPr>
        <xdr:cNvPr id="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2532151" y="72159"/>
          <a:ext cx="3193252" cy="920199"/>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hangarita\Downloads\MAPA%20%20RIESGOS%20CORRUPCI&#211;N%20comunicacion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Users\hangarita\Downloads\E-PI-F006%20FORMATO%20MAPA%20DE%20RIESGO%20contabilidad.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APA%20DE%20RIESGO%20CONTABILIDAD%20%20final%20Corte%2030%20abril%20de%202018.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ACKAP\MAPA%20DE%20RIESGO%20Contabilidad%20final%2030-09-201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hangarita\Downloads\MAPA%20DE%20RIESGOS%20ANTICORRUPCION%20presupuest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BACKAP\RIESGO%20SEPT%2030%20CONSOLIDADO\MATRIZ%20DE%20RIESGO%20PRESUPUESTO%2030-09-2017.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Users\hangarita\Downloads\FORMATO%20MAPA%20DE%20RIESGO%20TESORERI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Users\hangarita\Downloads\E-PI-F006%20FORMATO%20MAPA%20DE%20RIESGO%20INF%20FINA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Users\hangarita\Downloads\E-PI-F006%20FORMATO%20MAPA%20DE%20RIESGO%20recursos%20f&#237;sicos.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Users\hangarita\Downloads\E-PI-F006%20FORMATO%20MAPA%20DE%20RIESGO%20TH.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BACKAP\MAPA%20DE%20RIESGO%20Talento%20Humano%20final%2030-09-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hangarita\Downloads\E-PI-F006%20FORMATO%20MAPA%20DE%20RIESGO%20Planeaci&#243;n.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Users\hangarita\Downloads\FORMATO%20MAPA%20DE%20RIESGO%20Disciplinario.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Users\hangarita\Downloads\MATRIZ_INTEGRADA_GESTI&#211;N_CORRUPCI&#211;N%20PRIMER%20SEMESTRE%202017%20con%20avances%20a%2008%20de%20agosto%20de%202017.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OF_%20ASESORA_DE_PLANEACION\Compartida\Mapas%20de%20riesgos%20II%20Trimestre2017\MAPA%20DE%20RIESGOS%20Disciplinario%20final.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G:\Users\hangarita\Downloads\Mapa%20de%20corrupci&#243;n%20control%20intern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ACKAP\RIESGO%20SEPT%2030%20CONSOLIDADO\MAPA%20DE%20RIESGO%20Planeaci&#243;n%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sers\hangarita\Downloads\E-PI-F006%20FORMATO%20MAPA%20DE%20RIESGOGenerar%20datos%20e%20informaci&#243;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Users\hangarita\Downloads\E-PI-F006%20FORMATO%20MAPA%20DE%20RIESGO%20Generar%20conocimiento%20e%20investigaci&#243;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hangarita\Downloads\E-PI-F006%20FORMATO%20MAPA%20DE%20RIESGO%20servicio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hangarita\Downloads\E-PI-F006%20FORMATO%20MAPA%20DE%20RIESGO%20juridic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Users\hangarita\Downloads\E-PI-F006%20FORMATO%20MAPA%20DE%20RIESGO%20Atenci&#243;n%20al%20cidadano%20v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ACKAP\MAPA%20DE%20RIESGO%20Atenci&#243;n%20al%20Cidadano%20final%2030-09-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sheetName val="IdentRiesgo"/>
      <sheetName val="DefRiesgoCorrup"/>
      <sheetName val="ImpactoRiesgoCorrupR1"/>
      <sheetName val="ImpactoRiesgoCorrup R2"/>
      <sheetName val="ImpactoRiesgoCorrupR3"/>
      <sheetName val="AnálisisRiesgo"/>
      <sheetName val="EvaluaciónRiesgoCorrupR1"/>
      <sheetName val="EvaluaciónRiesgoCorrupR2"/>
      <sheetName val="EvaluaciónRiesgoCorrupR3"/>
      <sheetName val="EvaluaciónRiesgoGestión"/>
      <sheetName val="MapaRiesgos,"/>
      <sheetName val="Anterior"/>
      <sheetName val="MapaRiesgos Gest Comunicaciones"/>
    </sheetNames>
    <sheetDataSet>
      <sheetData sheetId="0"/>
      <sheetData sheetId="1">
        <row r="2">
          <cell r="B2" t="str">
            <v>GESTIÓN DE COMUNICACIONES</v>
          </cell>
        </row>
        <row r="3">
          <cell r="B3" t="str">
            <v xml:space="preserve">Diseñar, estandarizar, promover y evaluar las estrategias de comunicación interna y externa y de redes sociales del Instituto, que permitan mantener informados a los clientes y/o usuarios sobre las decisiones, acontecimientos y demás hechos de interés general, promovidos y/o organizados por la entidad.
</v>
          </cell>
        </row>
        <row r="6">
          <cell r="A6" t="str">
            <v xml:space="preserve">Obetenr algun beneficio personal o dinero adicional, con la información técnico científica que genera el Instituto.
                                                                                                                                                                                                                                                                                                                                                                                                                                                                                                  </v>
          </cell>
          <cell r="B6" t="str">
            <v>Utilizar indebidamente la información noticiosa previo a su publicación en los diferentes canales como la Web, el Twitter o el Facebook de la Entidad.</v>
          </cell>
        </row>
      </sheetData>
      <sheetData sheetId="2"/>
      <sheetData sheetId="3"/>
      <sheetData sheetId="4"/>
      <sheetData sheetId="5"/>
      <sheetData sheetId="6">
        <row r="9">
          <cell r="B9">
            <v>0</v>
          </cell>
        </row>
      </sheetData>
      <sheetData sheetId="7"/>
      <sheetData sheetId="8"/>
      <sheetData sheetId="9">
        <row r="11">
          <cell r="F11">
            <v>85</v>
          </cell>
        </row>
      </sheetData>
      <sheetData sheetId="10"/>
      <sheetData sheetId="11"/>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sheetName val="IdentRiesgo"/>
      <sheetName val="DefRiesgoCorrup"/>
      <sheetName val="ImpactoRiesgoCorrup 1"/>
      <sheetName val="ImpactoRiesgoCorrup (2)"/>
      <sheetName val="ImpactoRiesgoCorrup (3)"/>
      <sheetName val="ImpactoRiesgoCorrup (4)"/>
      <sheetName val="AnálisisRiesgo"/>
      <sheetName val="EvaluaciónRiesgoCorrup 1"/>
      <sheetName val="EvaluaciónRiesgoCorrup  (2)"/>
      <sheetName val="EvaluaciónRiesgoCorrup  (3)"/>
      <sheetName val="EvaluaciónRiesgoCorrup  (4)"/>
      <sheetName val="EvaluaciónRiesgoGestión"/>
      <sheetName val="MapaRiesgos,"/>
      <sheetName val="Anterior"/>
      <sheetName val="MapaRiesgos Gest Finan-Contab"/>
    </sheetNames>
    <sheetDataSet>
      <sheetData sheetId="0"/>
      <sheetData sheetId="1">
        <row r="2">
          <cell r="B2" t="str">
            <v>Gestión Financiera-Contabilidad</v>
          </cell>
        </row>
        <row r="3">
          <cell r="B3" t="str">
            <v>Asegurar la oportuna provisión de recursos financieros necesarios para el autosostenimiento y desempeño eficaz y eficiente de la gestión financiera de la entidad mediante el registro de la ejecución presupuestal, la presentación de estados financieros y el recaudo de los ingresos y el pago de los compromisos.</v>
          </cell>
        </row>
      </sheetData>
      <sheetData sheetId="2"/>
      <sheetData sheetId="3"/>
      <sheetData sheetId="4"/>
      <sheetData sheetId="5"/>
      <sheetData sheetId="6"/>
      <sheetData sheetId="7">
        <row r="9">
          <cell r="B9">
            <v>0</v>
          </cell>
        </row>
      </sheetData>
      <sheetData sheetId="8">
        <row r="11">
          <cell r="F11">
            <v>85</v>
          </cell>
        </row>
      </sheetData>
      <sheetData sheetId="9">
        <row r="11">
          <cell r="F11">
            <v>65</v>
          </cell>
        </row>
      </sheetData>
      <sheetData sheetId="10">
        <row r="11">
          <cell r="F11">
            <v>65</v>
          </cell>
        </row>
      </sheetData>
      <sheetData sheetId="11">
        <row r="11">
          <cell r="F11">
            <v>85</v>
          </cell>
        </row>
      </sheetData>
      <sheetData sheetId="12"/>
      <sheetData sheetId="13"/>
      <sheetData sheetId="14"/>
      <sheetData sheetId="1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sheetName val="ContextEstratégico (2)"/>
      <sheetName val="IdentificaciónRiesgos"/>
      <sheetName val="DefiniciónRiesgos"/>
      <sheetName val="ImpactoRiesgoCorrupción"/>
      <sheetName val="AnálisisRiesgos"/>
      <sheetName val="EvaluaciónRiesgos"/>
      <sheetName val="MapaRiesgos,"/>
      <sheetName val="Anterior"/>
      <sheetName val="MapaRies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1">
          <cell r="B21" t="str">
            <v>Favorecimiento económico a terceros en los procesos contractuales que adelanta del Instituto.</v>
          </cell>
          <cell r="C21" t="str">
            <v>Establecer los indicadores financieros de las diferentes procesos contractuales sin el debido análisis del sector económico y el cumplimiento del Manual para determinar y verificar los requisitos habilitantes en los Procesos de Contratación de Colombia Compra Eficiente.</v>
          </cell>
          <cell r="D21" t="str">
            <v>Acto de corrupción del funcionario y/o contratista del Grupo de Contabilidad.
Sanciones disciplinarias, penales y fiscales por parte de los entes de control.</v>
          </cell>
          <cell r="E21" t="str">
            <v>RIESGO DE CORRUPCIÓN</v>
          </cell>
          <cell r="K21" t="str">
            <v>Aplicación del Manual para determinar y verificar los requisitos habilitantes en los Procesos de Contratación de Colombia Compra Eficiente.</v>
          </cell>
          <cell r="Q21" t="str">
            <v xml:space="preserve">Segregación de funciones y actividades entre la estructuración y evaluación de los indicadores de capacidad financiera para los procesos de contratación de la Entidad y la aprobación de los mismos.
</v>
          </cell>
          <cell r="R21" t="str">
            <v>Procesos Contractuales que requieran requisitos habilitantes de capacidad financiera.</v>
          </cell>
        </row>
        <row r="22">
          <cell r="A22" t="str">
            <v>Ofrecimiento de sobornos al funcionario encargado de la amortización de los anticipos generados en la contratación por la modalidad de selección de comisionistas, (Bolsa Mercantil).</v>
          </cell>
          <cell r="B22" t="str">
            <v xml:space="preserve">Favorecer a los proveedores de los contratos suscritos a travès de la bolsa mercantil. </v>
          </cell>
          <cell r="D22" t="str">
            <v>Acto de corrupción del funcionario y/o contratista del Grupo de Contabilidad.
Sanciones disciplinarias, penales y fiscales por parte de los entes de control.</v>
          </cell>
          <cell r="K22" t="str">
            <v>Cuadro de control en Excel de amortización de anticipos.
Trazabilidad en el sistema de gestión documental Orfeo.</v>
          </cell>
          <cell r="P22" t="str">
            <v>MENSUAL</v>
          </cell>
          <cell r="Q22" t="str">
            <v>Segregación de funciones entre el trámite y aprobación de los documentos en el SIIF Nación II.</v>
          </cell>
          <cell r="R22" t="str">
            <v>Documento autorización del desembolso</v>
          </cell>
          <cell r="U22" t="str">
            <v>contratista y Coordinador Grupo de Contabilidad</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2)"/>
      <sheetName val="ContextEstratégico"/>
      <sheetName val="IdentificaciónRiesgos"/>
      <sheetName val="DefiniciónRiesgos"/>
      <sheetName val="ImpactoRiesgoCorrupción"/>
      <sheetName val="AnálisisRiesgos"/>
      <sheetName val="EvaluaciónRiesgos"/>
      <sheetName val="MapaRiesgos,"/>
      <sheetName val="Anterior"/>
      <sheetName val="MapaRiesgos"/>
    </sheetNames>
    <sheetDataSet>
      <sheetData sheetId="0" refreshError="1"/>
      <sheetData sheetId="1" refreshError="1"/>
      <sheetData sheetId="2" refreshError="1">
        <row r="6">
          <cell r="A6" t="str">
            <v>Falta de conciliaciones entre  el grupo de contabilidad y las dependencias que proveen informacion financiera</v>
          </cell>
        </row>
        <row r="11">
          <cell r="B11" t="str">
            <v xml:space="preserve">Favorecer a los proveedores de contratos con la bolsa mercantil. </v>
          </cell>
          <cell r="C11" t="str">
            <v>Autorizar los desembolsos a los proveedores de contratos con la bolsa mercantil sin el lleno de los requisitos legales.</v>
          </cell>
        </row>
      </sheetData>
      <sheetData sheetId="3" refreshError="1">
        <row r="4">
          <cell r="A4" t="str">
            <v>La información contable es base fundamental para la toma de decisiones de forma tal que se pueda administrar y proporcionar adecuadamente los recursos financieros que faciliten el desarrollo y cumplimiento del plan estrategico del Ideam.</v>
          </cell>
          <cell r="B4" t="str">
            <v>x</v>
          </cell>
          <cell r="C4" t="str">
            <v>x</v>
          </cell>
          <cell r="D4" t="str">
            <v>x</v>
          </cell>
          <cell r="F4" t="str">
            <v>RIESGO DE GESTIÓN</v>
          </cell>
        </row>
        <row r="5">
          <cell r="A5" t="str">
            <v>Gestionar los pagos y obligaciones  del Instituto sin los soportes legales tales como factura, cuenta de cobro, certificaco de supervision, planilla seguridad social.</v>
          </cell>
          <cell r="B5" t="str">
            <v>x</v>
          </cell>
          <cell r="C5" t="str">
            <v>x</v>
          </cell>
          <cell r="D5" t="str">
            <v>x</v>
          </cell>
          <cell r="F5" t="str">
            <v>RIESGO DE GESTIÓN</v>
          </cell>
        </row>
        <row r="6">
          <cell r="A6" t="str">
            <v>Tramitar cuentas de contratistas y proveedores que no hayan solictado el respectivo PAC, afectando el pago de otras obligaciones programadas oportunamente.</v>
          </cell>
          <cell r="B6" t="str">
            <v>x</v>
          </cell>
          <cell r="C6" t="str">
            <v>x</v>
          </cell>
          <cell r="D6" t="str">
            <v>x</v>
          </cell>
          <cell r="F6" t="str">
            <v>RIESGO DE GESTIÓN</v>
          </cell>
        </row>
        <row r="7">
          <cell r="A7" t="str">
            <v>Presentar los informes de Ley, fuera de los terminos establecidos.</v>
          </cell>
          <cell r="B7" t="str">
            <v>x</v>
          </cell>
          <cell r="C7" t="str">
            <v>x</v>
          </cell>
          <cell r="D7" t="str">
            <v>x</v>
          </cell>
          <cell r="F7" t="str">
            <v>RIESGO DE GESTIÓN</v>
          </cell>
        </row>
        <row r="8">
          <cell r="A8" t="str">
            <v>Establecer los indicadores financieros de las diferentes licitaciones sin el debido análisis del sector económico del SIREM.</v>
          </cell>
          <cell r="B8" t="str">
            <v>x</v>
          </cell>
          <cell r="C8" t="str">
            <v>x</v>
          </cell>
          <cell r="D8" t="str">
            <v>x</v>
          </cell>
          <cell r="E8" t="str">
            <v>X</v>
          </cell>
          <cell r="F8" t="str">
            <v>RIESGO DE CORRUPCIÓN</v>
          </cell>
        </row>
        <row r="9">
          <cell r="A9" t="str">
            <v>Autorizar los desembolsos a los proveedores de contratos con la bolsa mercantil sin el lleno de los requisitos legales.</v>
          </cell>
          <cell r="B9" t="str">
            <v>x</v>
          </cell>
          <cell r="C9" t="str">
            <v>x</v>
          </cell>
          <cell r="D9" t="str">
            <v>x</v>
          </cell>
          <cell r="E9" t="str">
            <v>X</v>
          </cell>
          <cell r="F9" t="str">
            <v>RIESGO DE CORRUPCIÓN</v>
          </cell>
        </row>
      </sheetData>
      <sheetData sheetId="4" refreshError="1"/>
      <sheetData sheetId="5" refreshError="1">
        <row r="9">
          <cell r="D9" t="str">
            <v>X</v>
          </cell>
        </row>
        <row r="13">
          <cell r="L13" t="str">
            <v/>
          </cell>
          <cell r="M13" t="str">
            <v>X</v>
          </cell>
        </row>
        <row r="14">
          <cell r="L14" t="str">
            <v/>
          </cell>
          <cell r="M14" t="str">
            <v>X</v>
          </cell>
        </row>
      </sheetData>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sheetName val="IdentRiesgo"/>
      <sheetName val="DefRiesgoCorrup"/>
      <sheetName val="ImpactoRiesgoCorrup"/>
      <sheetName val="AnálisisRiesgo"/>
      <sheetName val="EvaluaciónRiesgoCorrup"/>
      <sheetName val="EvaluaciónRiesgoGestión"/>
      <sheetName val="MapaRiesgos,"/>
      <sheetName val="Anterior"/>
      <sheetName val="MapaRiesgos Gest Finan-Presupue"/>
    </sheetNames>
    <sheetDataSet>
      <sheetData sheetId="0"/>
      <sheetData sheetId="1">
        <row r="2">
          <cell r="B2" t="str">
            <v>Gestión Financiera - Presupuesto</v>
          </cell>
        </row>
        <row r="3">
          <cell r="B3" t="str">
            <v>Asegurar la oportuna provisión de recursos financieros necesarios para el autosostenimiento y desempeño eficaz y eficiente de la gestión financiera de la entidad mediante el registro de la ejecución presupuestal, la presentación de estados financieros y el recaudo de los ingresos y el pago de los compromisos.</v>
          </cell>
        </row>
      </sheetData>
      <sheetData sheetId="2"/>
      <sheetData sheetId="3"/>
      <sheetData sheetId="4">
        <row r="9">
          <cell r="B9">
            <v>0</v>
          </cell>
        </row>
      </sheetData>
      <sheetData sheetId="5">
        <row r="11">
          <cell r="F11">
            <v>100</v>
          </cell>
        </row>
      </sheetData>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2)"/>
      <sheetName val="ContextEstratégico"/>
      <sheetName val="IdentificaciónRiesgos"/>
      <sheetName val="DefiniciónRiesgos"/>
      <sheetName val="ImpactoRiesgoCorrupción"/>
      <sheetName val="AnálisisRiesgos"/>
      <sheetName val="EvaluaciónRiesgos"/>
      <sheetName val="MapaRiesgos,"/>
      <sheetName val="Anterior"/>
      <sheetName val="MapaRiesgos"/>
    </sheetNames>
    <sheetDataSet>
      <sheetData sheetId="0" refreshError="1"/>
      <sheetData sheetId="1" refreshError="1"/>
      <sheetData sheetId="2" refreshError="1">
        <row r="8">
          <cell r="A8" t="str">
            <v>1. Desconocimiento de principios básicos en la ejecución del presupuesto. 
2. Falta de valores éticos y morales en los servidores públicos que toman decisiones frente al manejo presupuestal.
3. Informacion inconsistente al solicitar los Certificados de Disponibilidad.</v>
          </cell>
          <cell r="B8" t="str">
            <v>Beneficio a terceros en la expedicion de Certificados Presupuestales y Registros Presupuestales.</v>
          </cell>
          <cell r="C8" t="str">
            <v>Expedir Certificados de Disponibilidad Presupuestal y/o Registros Presupuestales amparando la contratación del Instituto  sin el lleno de los requisitos legales, en beneficio propio o a cambio de una retribución económica.</v>
          </cell>
          <cell r="D8" t="str">
            <v>1. Inconsistencias en la informacion suministrada por el Grupo de presupuesto a los diferentes entes de control.
2. Sanciones disciplinarias por parte de los entes de control.
3. Detrimento patrimonial.</v>
          </cell>
        </row>
      </sheetData>
      <sheetData sheetId="3" refreshError="1">
        <row r="4">
          <cell r="A4" t="str">
            <v>Hace referencia a las solicitudes de certificados de disponibilidad presupuestal que se afectan con cargo a rubros presupuestales que no corresponden a la definición contenida del rubro en la Ley de Presupuesto aplicable a la vigencia.</v>
          </cell>
          <cell r="B4">
            <v>0</v>
          </cell>
          <cell r="C4">
            <v>0</v>
          </cell>
          <cell r="D4">
            <v>0</v>
          </cell>
          <cell r="E4">
            <v>0</v>
          </cell>
          <cell r="F4" t="str">
            <v>RIESGO DE GESTIÓN</v>
          </cell>
        </row>
        <row r="5">
          <cell r="A5" t="str">
            <v>Hace referencia a los errores presentados al efectuar las diferentes transacciones en el aplicativo SIIF Nacion.</v>
          </cell>
          <cell r="B5">
            <v>0</v>
          </cell>
          <cell r="C5">
            <v>0</v>
          </cell>
          <cell r="D5">
            <v>0</v>
          </cell>
          <cell r="E5">
            <v>0</v>
          </cell>
          <cell r="F5" t="str">
            <v>RIESGO DE GESTIÓN</v>
          </cell>
        </row>
        <row r="6">
          <cell r="A6" t="str">
            <v>Expedir Certificados de Disponibilidad Presupuestal y/o Registros Presupuestales amparando la contratación del Instituto  sin el lleno de los requisitos legales, en beneficio propio o a cambio de una retribución económica.</v>
          </cell>
          <cell r="B6" t="str">
            <v>X</v>
          </cell>
          <cell r="C6" t="str">
            <v>X</v>
          </cell>
          <cell r="D6" t="str">
            <v>X</v>
          </cell>
          <cell r="E6" t="str">
            <v>X</v>
          </cell>
          <cell r="F6" t="str">
            <v>RIESGO DE CORRUPCIÓN</v>
          </cell>
        </row>
        <row r="7">
          <cell r="A7" t="str">
            <v/>
          </cell>
          <cell r="B7">
            <v>0</v>
          </cell>
          <cell r="C7">
            <v>0</v>
          </cell>
          <cell r="D7">
            <v>0</v>
          </cell>
          <cell r="E7">
            <v>0</v>
          </cell>
          <cell r="F7" t="str">
            <v/>
          </cell>
        </row>
        <row r="8">
          <cell r="A8" t="str">
            <v/>
          </cell>
          <cell r="B8">
            <v>0</v>
          </cell>
          <cell r="C8">
            <v>0</v>
          </cell>
          <cell r="D8">
            <v>0</v>
          </cell>
          <cell r="E8">
            <v>0</v>
          </cell>
          <cell r="F8" t="str">
            <v/>
          </cell>
        </row>
        <row r="9">
          <cell r="A9" t="str">
            <v/>
          </cell>
          <cell r="B9">
            <v>0</v>
          </cell>
          <cell r="C9">
            <v>0</v>
          </cell>
          <cell r="D9">
            <v>0</v>
          </cell>
          <cell r="E9">
            <v>0</v>
          </cell>
          <cell r="F9" t="str">
            <v/>
          </cell>
        </row>
      </sheetData>
      <sheetData sheetId="4" refreshError="1"/>
      <sheetData sheetId="5" refreshError="1">
        <row r="11">
          <cell r="B11">
            <v>0</v>
          </cell>
          <cell r="C11">
            <v>0</v>
          </cell>
          <cell r="D11">
            <v>0</v>
          </cell>
          <cell r="E11">
            <v>0</v>
          </cell>
          <cell r="F11" t="str">
            <v>X</v>
          </cell>
          <cell r="G11">
            <v>0</v>
          </cell>
          <cell r="H11">
            <v>0</v>
          </cell>
          <cell r="I11">
            <v>0</v>
          </cell>
          <cell r="J11">
            <v>0</v>
          </cell>
          <cell r="L11" t="str">
            <v>X</v>
          </cell>
          <cell r="M11" t="str">
            <v/>
          </cell>
        </row>
      </sheetData>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sheetName val="IdentRiesgo"/>
      <sheetName val="DefRiesgoCorrup"/>
      <sheetName val="ImpactoRiesgoCorrup (1)"/>
      <sheetName val="AnálisisRiesgo"/>
      <sheetName val="EvaluaciónRiesgoCorrup (1)"/>
      <sheetName val="EvaluaciónRiesgoGestión"/>
      <sheetName val="MapaRiesgos,"/>
      <sheetName val="Anterior"/>
      <sheetName val="MapaRiesgos Gest Finan-Tesorerí"/>
    </sheetNames>
    <sheetDataSet>
      <sheetData sheetId="0" refreshError="1"/>
      <sheetData sheetId="1" refreshError="1">
        <row r="2">
          <cell r="B2" t="str">
            <v>GESTION FINANCIERA - TESORERÍA</v>
          </cell>
        </row>
        <row r="3">
          <cell r="B3" t="str">
            <v>Asegurar la oportuna provisión de recursos financieros necesarios para el autosostenimiento y desempeño eficaz y eficiente de la gestión financiera de la entidad mediante el registro de la ejecución presupuestal, la presentación de estados financieros y el recaudo de los ingresos y el pago de los compromisos.</v>
          </cell>
        </row>
      </sheetData>
      <sheetData sheetId="2" refreshError="1"/>
      <sheetData sheetId="3" refreshError="1"/>
      <sheetData sheetId="4" refreshError="1"/>
      <sheetData sheetId="5" refreshError="1">
        <row r="11">
          <cell r="F11">
            <v>100</v>
          </cell>
        </row>
      </sheetData>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sheetName val="IdentRiesgo"/>
      <sheetName val="DefRiesgoCorrup"/>
      <sheetName val="ImpactoRiesgoCorrupR1"/>
      <sheetName val="AnálisisRiesgo"/>
      <sheetName val="EvaluaciónRiesgoCorrup R1"/>
      <sheetName val="EvaluaciónRiesgoGestión"/>
      <sheetName val="MapaRiesgos,"/>
      <sheetName val="Anterior"/>
      <sheetName val="MapaRiesgos Gest Informática"/>
    </sheetNames>
    <sheetDataSet>
      <sheetData sheetId="0" refreshError="1"/>
      <sheetData sheetId="1">
        <row r="2">
          <cell r="B2" t="str">
            <v>GESTION DE RECURSOS INFORMATICOS Y TECNOLOGICOS</v>
          </cell>
        </row>
        <row r="3">
          <cell r="B3" t="str">
            <v>Servir como apoyo a todos los procesos del instituto, en cuanto a la implementación, mantenimiento y soporte técnico de los sistemas de información tanto misionales como de apoyo administrativo, garantizando a los usuarios el acceso a las herramientas informáticas a través de una infraestructura tecnológica debidamente actualizada y soportada, cumpliendo con los requisitos de oportunidad, disponibilidad y seguridad.</v>
          </cell>
        </row>
      </sheetData>
      <sheetData sheetId="2" refreshError="1"/>
      <sheetData sheetId="3" refreshError="1"/>
      <sheetData sheetId="4">
        <row r="9">
          <cell r="E9" t="str">
            <v>X</v>
          </cell>
        </row>
      </sheetData>
      <sheetData sheetId="5">
        <row r="11">
          <cell r="F11">
            <v>85</v>
          </cell>
        </row>
      </sheetData>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sheetName val="IdentRiesgo"/>
      <sheetName val="DefRiesgoCorrup"/>
      <sheetName val="ImpactoRiesgoCorrup 1"/>
      <sheetName val="ImpactoRiesgoCorrup 2"/>
      <sheetName val="AnálisisRiesgo"/>
      <sheetName val="EvaluaciónRiesgoCorrup 1"/>
      <sheetName val="EvaluaciónRiesgoCorrup 2"/>
      <sheetName val="EvaluaciónRiesgoGestión"/>
      <sheetName val="MapaRiesgos,"/>
      <sheetName val="Anterior"/>
      <sheetName val="MapaRiesgos Gest Recursos Físic"/>
    </sheetNames>
    <sheetDataSet>
      <sheetData sheetId="0"/>
      <sheetData sheetId="1">
        <row r="2">
          <cell r="B2" t="str">
            <v>Gestión de Recursos Físicos</v>
          </cell>
        </row>
        <row r="3">
          <cell r="B3" t="str">
            <v>Brindar el apoyo logístico mediante el suministro de materiales, equipos, elementos y servicios con el fin de proporcionar un ambiente adecuado de trabajo y satisfacer las necesidades de bienes y servicios requeridos para el excelente funcionamiento del IDEAM</v>
          </cell>
        </row>
      </sheetData>
      <sheetData sheetId="2"/>
      <sheetData sheetId="3"/>
      <sheetData sheetId="4"/>
      <sheetData sheetId="5">
        <row r="9">
          <cell r="B9">
            <v>0</v>
          </cell>
        </row>
      </sheetData>
      <sheetData sheetId="6">
        <row r="11">
          <cell r="F11">
            <v>85</v>
          </cell>
        </row>
      </sheetData>
      <sheetData sheetId="7"/>
      <sheetData sheetId="8"/>
      <sheetData sheetId="9"/>
      <sheetData sheetId="10"/>
      <sheetData sheetId="1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sheetName val="IdentRiesgo"/>
      <sheetName val="DefRiesgoCorrup"/>
      <sheetName val="ImpactoRiesgoCorrup R1"/>
      <sheetName val="ImpactoRiesgoCorrup R2"/>
      <sheetName val="AnálisisRiesgo"/>
      <sheetName val="Evalaucion Riesgo R1"/>
      <sheetName val="Evalaucion Riesgo R2"/>
      <sheetName val="EvaluaciónRiesgoGestión"/>
      <sheetName val="MapaRiesgos,"/>
      <sheetName val="Anterior"/>
      <sheetName val="MapaRiesgos Gest Des Talento H"/>
    </sheetNames>
    <sheetDataSet>
      <sheetData sheetId="0"/>
      <sheetData sheetId="1">
        <row r="2">
          <cell r="B2" t="str">
            <v>Gestion del Desarrollo del Talento Humano</v>
          </cell>
        </row>
        <row r="3">
          <cell r="B3" t="str">
            <v xml:space="preserve">Administrar y promover el desarrollo integral del talento humano de la Entidad, a través de la implementación de políticas, planes, programas y acciones que fortalezcan la calidad de vida laboral de los trabajadores y garanticen una mejor prestación de los servicios que ofrece el IDEAM. </v>
          </cell>
        </row>
      </sheetData>
      <sheetData sheetId="2"/>
      <sheetData sheetId="3"/>
      <sheetData sheetId="4"/>
      <sheetData sheetId="5">
        <row r="9">
          <cell r="B9">
            <v>0</v>
          </cell>
        </row>
      </sheetData>
      <sheetData sheetId="6">
        <row r="11">
          <cell r="F11">
            <v>85</v>
          </cell>
        </row>
      </sheetData>
      <sheetData sheetId="7">
        <row r="11">
          <cell r="F11">
            <v>50</v>
          </cell>
        </row>
      </sheetData>
      <sheetData sheetId="8"/>
      <sheetData sheetId="9"/>
      <sheetData sheetId="10"/>
      <sheetData sheetId="1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final"/>
      <sheetName val="ContextEstratégico"/>
      <sheetName val="IdentificaciónRiesgos"/>
      <sheetName val="DefiniciónRiesgos"/>
      <sheetName val="ImpactoRiesgoCorrupción"/>
      <sheetName val="AnálisisRiesgos"/>
      <sheetName val="EvaluaciónRiesgos"/>
      <sheetName val="MapaRiesgos,"/>
      <sheetName val="Anterior"/>
      <sheetName val="MapaRiesgos"/>
    </sheetNames>
    <sheetDataSet>
      <sheetData sheetId="0" refreshError="1"/>
      <sheetData sheetId="1" refreshError="1"/>
      <sheetData sheetId="2">
        <row r="6">
          <cell r="A6" t="str">
            <v xml:space="preserve">1. Abuso extralimitación de las funciones
2. Incumplimiento del procedimiento
establecido para la selección de personal. 
3. Incumplimiento de los requisitos para la posesión establecidos por la norma.
</v>
          </cell>
          <cell r="B6" t="str">
            <v xml:space="preserve">Uso del poder para la vinculación de personal que no cumple los requisitos establecidos en el manual especifico de funciones.     </v>
          </cell>
          <cell r="C6" t="str">
            <v>Realizar posesiones o encargos sin cumplir con los requisitos establecidos en el Manual de Funciones y de Competencias; o sin que se surta el procedimiento establecido por Ley para la provisión de empleos de carrera administrativa y de libre nombramiento.</v>
          </cell>
        </row>
      </sheetData>
      <sheetData sheetId="3">
        <row r="4">
          <cell r="A4" t="str">
            <v>Realizar posesiones o encargos sin cumplir con los requisitos establecidos en el Manual de Funciones y de Competencias; o sin que se surta el procedimiento establecido por Ley para la provisión de empleos de carrera administrativa y de libre nombramiento.</v>
          </cell>
          <cell r="B4" t="str">
            <v>x</v>
          </cell>
          <cell r="C4" t="str">
            <v>x</v>
          </cell>
          <cell r="D4" t="str">
            <v>x</v>
          </cell>
          <cell r="E4" t="str">
            <v>X</v>
          </cell>
          <cell r="F4" t="str">
            <v>RIESGO DE CORRUPCIÓN</v>
          </cell>
        </row>
        <row r="5">
          <cell r="A5" t="str">
            <v xml:space="preserve">Prestámo de las Historias Laborales,  Emisión de documentos irregulares,  con información incorrecta en beneficio de un tercero. </v>
          </cell>
          <cell r="E5" t="str">
            <v>X</v>
          </cell>
          <cell r="F5" t="str">
            <v>RIESGO DE CORRUPCIÓN</v>
          </cell>
        </row>
        <row r="6">
          <cell r="A6" t="str">
            <v xml:space="preserve">Omitir o registrar inoportuna y/o incorrectamente cualquier novedad relacionada con los funcionarios del Instituto en el Sistema PERNO </v>
          </cell>
          <cell r="B6" t="str">
            <v>x</v>
          </cell>
          <cell r="C6" t="str">
            <v>x</v>
          </cell>
          <cell r="D6" t="str">
            <v>x</v>
          </cell>
          <cell r="E6" t="str">
            <v>X</v>
          </cell>
          <cell r="F6" t="str">
            <v>RIESGO DE CORRUPCIÓN</v>
          </cell>
        </row>
        <row r="7">
          <cell r="A7" t="str">
            <v>Se puede llegar a presentar Incumplimiento de los planes institucionales de bienestar e incentivos, capacitación y/o sistema de seguridad y salud en el trabajo, dirigidos a los servidores públicos de la entidad.</v>
          </cell>
          <cell r="F7" t="str">
            <v>RIESGO DE GESTIÓN</v>
          </cell>
        </row>
        <row r="8">
          <cell r="A8" t="str">
            <v xml:space="preserve">Se puede llegar a presentar la eventualidad de que el  jefe inmediato y el funcionario no generen el proceso de evaluación dentro de las fechas establecidas.
</v>
          </cell>
          <cell r="F8" t="str">
            <v>RIESGO DE GESTIÓN</v>
          </cell>
        </row>
        <row r="9">
          <cell r="A9" t="str">
            <v>El proceso de los Acuerdos de Gestión no cumpla con los lineamientos, términos y
condiciones establecidos en la normatividad vigente sobre la materia y el procedimiento
establecido por la entidad para tal fin.</v>
          </cell>
          <cell r="B9" t="str">
            <v>x</v>
          </cell>
          <cell r="F9" t="str">
            <v>RIESGO DE GESTIÓN</v>
          </cell>
        </row>
      </sheetData>
      <sheetData sheetId="4" refreshError="1"/>
      <sheetData sheetId="5">
        <row r="9">
          <cell r="C9" t="str">
            <v>X</v>
          </cell>
          <cell r="H9" t="str">
            <v>X</v>
          </cell>
          <cell r="L9" t="str">
            <v/>
          </cell>
          <cell r="M9" t="str">
            <v>X</v>
          </cell>
        </row>
      </sheetData>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sheetName val="IdentRiesgo"/>
      <sheetName val="DefRiesgoCorrup"/>
      <sheetName val="ImpactoRiesgoCorrup"/>
      <sheetName val="AnálisisRiesgo"/>
      <sheetName val="EvaluaciónRiesgoCorrup"/>
      <sheetName val="EvaluaciónRiesgoGestión"/>
      <sheetName val="MapaRiesgos,"/>
      <sheetName val="Anterior"/>
      <sheetName val="MapaRiesgos Gest Planeación"/>
    </sheetNames>
    <sheetDataSet>
      <sheetData sheetId="0"/>
      <sheetData sheetId="1">
        <row r="2">
          <cell r="B2" t="str">
            <v>Gestión de la Planeación</v>
          </cell>
        </row>
        <row r="3">
          <cell r="B3" t="str">
            <v xml:space="preserve">Coordinar la formulación y hacer el seguimiento de los instrumentos de planeación necesarios para contribuir al cumplimiento de la misión institucional en el marco de las políticas vigentes. </v>
          </cell>
        </row>
      </sheetData>
      <sheetData sheetId="2"/>
      <sheetData sheetId="3"/>
      <sheetData sheetId="4">
        <row r="9">
          <cell r="B9">
            <v>0</v>
          </cell>
        </row>
      </sheetData>
      <sheetData sheetId="5">
        <row r="11">
          <cell r="F11">
            <v>85</v>
          </cell>
        </row>
      </sheetData>
      <sheetData sheetId="6"/>
      <sheetData sheetId="7"/>
      <sheetData sheetId="8"/>
      <sheetData sheetId="9"/>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sheetName val="IdentRiesgo"/>
      <sheetName val="DefRiesgoCorrup"/>
      <sheetName val="ImpactoRiesgoCorrupR1"/>
      <sheetName val="ImpactoRiesgoCorrupR2"/>
      <sheetName val="AnálisisRiesgo"/>
      <sheetName val="EvaluaciónRiesgoCorrupR1"/>
      <sheetName val="EvaluaciónRiesgoCorrupR2"/>
      <sheetName val="MapaRiesgos,"/>
      <sheetName val="Anterior"/>
      <sheetName val="EvaluaciónRiesgoGestión"/>
      <sheetName val="MapaRiesgo Gest Cont Discip Int"/>
    </sheetNames>
    <sheetDataSet>
      <sheetData sheetId="0"/>
      <sheetData sheetId="1">
        <row r="2">
          <cell r="B2" t="str">
            <v>Gestión de Control Disciplinario Interno</v>
          </cell>
        </row>
        <row r="3">
          <cell r="B3" t="str">
            <v>Investigar y fallar sobre presuntas conductas de los servidores públicos del Instituto de conformidad con las disposiciones establecidas en el Código Disciplinario Único y normas concordantes</v>
          </cell>
        </row>
      </sheetData>
      <sheetData sheetId="2"/>
      <sheetData sheetId="3"/>
      <sheetData sheetId="4"/>
      <sheetData sheetId="5">
        <row r="9">
          <cell r="B9">
            <v>0</v>
          </cell>
        </row>
      </sheetData>
      <sheetData sheetId="6">
        <row r="11">
          <cell r="F11">
            <v>85</v>
          </cell>
        </row>
      </sheetData>
      <sheetData sheetId="7"/>
      <sheetData sheetId="8"/>
      <sheetData sheetId="9"/>
      <sheetData sheetId="10"/>
      <sheetData sheetId="1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sheetName val="IdentificaciónRiesgos"/>
      <sheetName val="DefiniciónRiesgos"/>
      <sheetName val="ImpactoRiesgoCorrupción"/>
      <sheetName val="AnálisisRiesgos"/>
      <sheetName val="EvaluaciónRiesgos"/>
      <sheetName val="MapaRiesgos,"/>
      <sheetName val="Anterior"/>
      <sheetName val="MapaRiesgos"/>
    </sheetNames>
    <sheetDataSet>
      <sheetData sheetId="0"/>
      <sheetData sheetId="1">
        <row r="7">
          <cell r="A7" t="str">
            <v xml:space="preserve">Falta de ética y profesionalismo del funcionario instructor. </v>
          </cell>
          <cell r="B7" t="str">
            <v xml:space="preserve">Proyectar fallo contrario a las evidencias  que constituyen el acervo probatorio recaudado para favorecer al indagado o al investigado. </v>
          </cell>
          <cell r="C7" t="str">
            <v xml:space="preserve">Proyectar fallo en forma contraria a las pruebas que obran dentro de cada proceso con el fin de favorecer al indagado o al investigado </v>
          </cell>
          <cell r="D7" t="str">
            <v xml:space="preserve"> Causal de Nulidad (Artículo 143 No. 3 del CDU). Pérdida de credibilidad del grupo y actuación disciplinaria por parte de la PGN. </v>
          </cell>
        </row>
      </sheetData>
      <sheetData sheetId="2">
        <row r="4">
          <cell r="A4" t="str">
            <v>Decretar de oficio nulidades o prescripción de la acción disciplinaria en los procesos adelantados por el grupo</v>
          </cell>
          <cell r="B4" t="str">
            <v>X</v>
          </cell>
          <cell r="C4" t="str">
            <v>X</v>
          </cell>
          <cell r="D4" t="str">
            <v>X</v>
          </cell>
          <cell r="E4">
            <v>0</v>
          </cell>
          <cell r="F4" t="str">
            <v>RIESGO DE GESTIÓN</v>
          </cell>
        </row>
        <row r="5">
          <cell r="A5" t="str">
            <v xml:space="preserve">Proyectar fallo en forma contraria a las pruebas que obran dentro de cada proceso con el fin de favorecer al indagado o al investigado </v>
          </cell>
          <cell r="B5" t="str">
            <v>X</v>
          </cell>
          <cell r="C5" t="str">
            <v>X</v>
          </cell>
          <cell r="D5" t="str">
            <v>X</v>
          </cell>
          <cell r="E5" t="str">
            <v>X</v>
          </cell>
          <cell r="F5" t="str">
            <v>RIESGO DE CORRUPCIÓN</v>
          </cell>
        </row>
        <row r="6">
          <cell r="A6" t="str">
            <v>En caso de darse algunas de las causales contenidas en el Art. 84 del CDU, el servidor público que este adelantando la actuación disciplinaria ó que le competa fallar la misma, deberá declararse impedido</v>
          </cell>
          <cell r="B6" t="str">
            <v>X</v>
          </cell>
          <cell r="C6" t="str">
            <v>X</v>
          </cell>
          <cell r="D6" t="str">
            <v>X</v>
          </cell>
          <cell r="E6" t="str">
            <v>X</v>
          </cell>
          <cell r="F6" t="str">
            <v>RIESGO DE CORRUPCIÓN</v>
          </cell>
        </row>
        <row r="7">
          <cell r="A7" t="str">
            <v>, so pena de incurrir  en Falta Disciplinaria Gravísima.</v>
          </cell>
          <cell r="B7">
            <v>0</v>
          </cell>
          <cell r="C7">
            <v>0</v>
          </cell>
          <cell r="D7">
            <v>0</v>
          </cell>
          <cell r="E7">
            <v>0</v>
          </cell>
          <cell r="F7" t="str">
            <v>RIESGO DE GESTIÓN</v>
          </cell>
        </row>
        <row r="8">
          <cell r="A8" t="str">
            <v/>
          </cell>
          <cell r="B8">
            <v>0</v>
          </cell>
          <cell r="C8">
            <v>0</v>
          </cell>
          <cell r="D8">
            <v>0</v>
          </cell>
          <cell r="E8">
            <v>0</v>
          </cell>
          <cell r="F8" t="str">
            <v/>
          </cell>
        </row>
        <row r="9">
          <cell r="A9" t="str">
            <v/>
          </cell>
          <cell r="B9">
            <v>0</v>
          </cell>
          <cell r="C9">
            <v>0</v>
          </cell>
          <cell r="D9">
            <v>0</v>
          </cell>
          <cell r="E9">
            <v>0</v>
          </cell>
          <cell r="F9" t="str">
            <v/>
          </cell>
        </row>
      </sheetData>
      <sheetData sheetId="3"/>
      <sheetData sheetId="4">
        <row r="10">
          <cell r="B10">
            <v>0</v>
          </cell>
          <cell r="C10">
            <v>0</v>
          </cell>
          <cell r="D10">
            <v>0</v>
          </cell>
          <cell r="E10">
            <v>0</v>
          </cell>
          <cell r="F10" t="str">
            <v>X</v>
          </cell>
          <cell r="G10">
            <v>0</v>
          </cell>
          <cell r="H10">
            <v>0</v>
          </cell>
          <cell r="I10" t="str">
            <v>X</v>
          </cell>
          <cell r="J10">
            <v>0</v>
          </cell>
          <cell r="L10" t="str">
            <v/>
          </cell>
          <cell r="M10" t="str">
            <v>X</v>
          </cell>
        </row>
      </sheetData>
      <sheetData sheetId="5"/>
      <sheetData sheetId="6"/>
      <sheetData sheetId="7"/>
      <sheetData sheetId="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sheetName val="IdentificaciónRiesgos"/>
      <sheetName val="DefiniciónRiesgos"/>
      <sheetName val="ImpactoRiesgoCorrupción"/>
      <sheetName val="AnálisisRiesgos"/>
      <sheetName val="EvaluaciónRiesgos"/>
      <sheetName val="MapaRiesgos,"/>
      <sheetName val="Anterior"/>
      <sheetName val="MapaRiesgos"/>
    </sheetNames>
    <sheetDataSet>
      <sheetData sheetId="0"/>
      <sheetData sheetId="1">
        <row r="8">
          <cell r="A8" t="str">
            <v xml:space="preserve">Falta de ética y profesionalismo del funcionario instructor ó de la Primera Instancia Disciplinaria según el caso.   </v>
          </cell>
          <cell r="B8" t="str">
            <v>No declararse impedido cuando exista el deber jurídico de hacerlo, con el ánimo de favorecer  a los sujetos procesales.</v>
          </cell>
          <cell r="C8" t="str">
            <v>En caso de darse algunas de las causales contenidas en el Art. 84 del CDU, el servidor público que este adelantando la actuación disciplinaria ó que le competa fallar la misma, deberá declararse impedido</v>
          </cell>
          <cell r="D8" t="str">
            <v xml:space="preserve">Incursión en Falta Disciplinaria Gravísima, al tenor de lo previsto en el Art. 48 No. 17 del CDU. </v>
          </cell>
        </row>
      </sheetData>
      <sheetData sheetId="2">
        <row r="4">
          <cell r="A4" t="str">
            <v>Decretar de oficio nulidades o prescripción de la acción disciplinaria en los procesos adelantados por el grupo</v>
          </cell>
          <cell r="B4"/>
          <cell r="C4"/>
          <cell r="D4"/>
          <cell r="E4"/>
          <cell r="F4" t="str">
            <v>RIESGO DE GESTIÓN</v>
          </cell>
        </row>
        <row r="5">
          <cell r="A5" t="str">
            <v xml:space="preserve">Proyectar fallo en forma contraria a las pruebas que obran dentro de cada proceso con el fin de favorecer al indagado o al investigado </v>
          </cell>
          <cell r="B5" t="str">
            <v>X</v>
          </cell>
          <cell r="C5" t="str">
            <v>X</v>
          </cell>
          <cell r="D5" t="str">
            <v>X</v>
          </cell>
          <cell r="E5" t="str">
            <v>X</v>
          </cell>
          <cell r="F5" t="str">
            <v>RIESGO DE CORRUPCIÓN</v>
          </cell>
        </row>
        <row r="6">
          <cell r="A6" t="str">
            <v>En caso de darse algunas de las causales contenidas en el Art. 84 del CDU, el servidor público que este adelantando la actuación disciplinaria ó que le competa fallar la misma, deberá declararse impedido</v>
          </cell>
          <cell r="B6" t="str">
            <v>X</v>
          </cell>
          <cell r="C6" t="str">
            <v>X</v>
          </cell>
          <cell r="D6" t="str">
            <v>X</v>
          </cell>
          <cell r="E6" t="str">
            <v>X</v>
          </cell>
          <cell r="F6" t="str">
            <v>RIESGO DE CORRUPCIÓN</v>
          </cell>
        </row>
        <row r="7">
          <cell r="A7" t="str">
            <v/>
          </cell>
          <cell r="B7"/>
          <cell r="C7"/>
          <cell r="D7"/>
          <cell r="E7"/>
          <cell r="F7" t="str">
            <v/>
          </cell>
        </row>
        <row r="8">
          <cell r="A8" t="str">
            <v/>
          </cell>
          <cell r="B8"/>
          <cell r="C8"/>
          <cell r="D8"/>
          <cell r="E8"/>
          <cell r="F8" t="str">
            <v/>
          </cell>
        </row>
        <row r="9">
          <cell r="A9" t="str">
            <v/>
          </cell>
          <cell r="B9"/>
          <cell r="C9"/>
          <cell r="D9"/>
          <cell r="E9"/>
          <cell r="F9" t="str">
            <v/>
          </cell>
        </row>
      </sheetData>
      <sheetData sheetId="3"/>
      <sheetData sheetId="4">
        <row r="11">
          <cell r="B11"/>
          <cell r="C11"/>
          <cell r="D11"/>
          <cell r="E11"/>
          <cell r="F11" t="str">
            <v>X</v>
          </cell>
          <cell r="G11"/>
          <cell r="H11"/>
          <cell r="I11"/>
          <cell r="J11"/>
          <cell r="L11" t="str">
            <v/>
          </cell>
          <cell r="M11" t="str">
            <v>X</v>
          </cell>
        </row>
      </sheetData>
      <sheetData sheetId="5"/>
      <sheetData sheetId="6"/>
      <sheetData sheetId="7"/>
      <sheetData sheetId="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sheetName val="IdentRiesgo"/>
      <sheetName val="DefRiesgoCorrup"/>
      <sheetName val="ImpactoRiesgoCorrupR1"/>
      <sheetName val="ImpactoRiesgoCorrupR2"/>
      <sheetName val="ImpactoRiesgoCorrupR3"/>
      <sheetName val="ImpactoRiesgoCorrupR4"/>
      <sheetName val="AnálisisRiesgo"/>
      <sheetName val="EvaluaciónRiesgoCorrupR1"/>
      <sheetName val="EvaluaciónRiesgoCorrupR2"/>
      <sheetName val="MapaRiesgos,"/>
      <sheetName val="Anterior"/>
      <sheetName val="EvaluaciónRiesgoCorrupR3"/>
      <sheetName val="EvaluaciónRiesgoCorrupR4"/>
      <sheetName val="EvaluaciónRiesgoGestión"/>
      <sheetName val="MapaRiesgos Gest Mejoram Contin"/>
    </sheetNames>
    <sheetDataSet>
      <sheetData sheetId="0" refreshError="1"/>
      <sheetData sheetId="1" refreshError="1">
        <row r="2">
          <cell r="B2" t="str">
            <v>Gestión del Mejoramiento Continuo</v>
          </cell>
        </row>
        <row r="3">
          <cell r="B3" t="str">
            <v xml:space="preserve">Evaluar de forma autónoma, objetiva e independiente el funcionamiento del Sistema Integrado de Gestión del IDEAM para el cumplimiento de  los objetivos y metas, a través de la realización de auditorías, seguimientos y verificaciones a las diferentes áreas, procesos, planes y/o proyectos, formulando recomendaciones para contribuir al mejoramiento continuo y al fortalecimiento institucional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2)"/>
      <sheetName val="ContextEstratégico"/>
      <sheetName val="IdentificaciónRiesgos"/>
      <sheetName val="DefiniciónRiesgos"/>
      <sheetName val="ImpactoRiesgoCorrupción"/>
      <sheetName val="AnálisisRiesgos"/>
      <sheetName val="EvaluaciónRiesgos"/>
      <sheetName val="MapaRiesgos,"/>
      <sheetName val="Anterior"/>
      <sheetName val="MapaRiesgos"/>
    </sheetNames>
    <sheetDataSet>
      <sheetData sheetId="0"/>
      <sheetData sheetId="1"/>
      <sheetData sheetId="2">
        <row r="7">
          <cell r="A7" t="str">
            <v>Intereses mutuos o recibimiento de dádivas.</v>
          </cell>
          <cell r="B7" t="str">
            <v>Aprobar CDP que no esten en el POA (Plan Operativo Anual)</v>
          </cell>
          <cell r="C7" t="str">
            <v>Aprobar CDP que no esten en el POA (Plan Operativo Anual), en beneficio a un particular</v>
          </cell>
          <cell r="D7" t="str">
            <v>1. Hallazgos en auditorias de los entes de Control. 
2. Perdida de credibilidad en la gestión de la Entidad. 
3. Detrimento patrimonial.</v>
          </cell>
        </row>
      </sheetData>
      <sheetData sheetId="3">
        <row r="4">
          <cell r="A4" t="str">
            <v>Inadecuada interpretación de los lineamientos gubernamentales y sectoriales, en los planes institucionales</v>
          </cell>
          <cell r="B4">
            <v>0</v>
          </cell>
          <cell r="C4">
            <v>0</v>
          </cell>
          <cell r="D4">
            <v>0</v>
          </cell>
          <cell r="E4">
            <v>0</v>
          </cell>
          <cell r="F4" t="str">
            <v>RIESGO DE GESTIÓN</v>
          </cell>
        </row>
        <row r="5">
          <cell r="A5" t="str">
            <v>Aprobar CDP que no esten en el POA (Plan Operativo Anual), en beneficio a un particular</v>
          </cell>
          <cell r="B5" t="str">
            <v>X</v>
          </cell>
          <cell r="C5" t="str">
            <v>X</v>
          </cell>
          <cell r="D5" t="str">
            <v>X</v>
          </cell>
          <cell r="E5" t="str">
            <v>X</v>
          </cell>
          <cell r="F5" t="str">
            <v>RIESGO DE CORRUPCIÓN</v>
          </cell>
        </row>
        <row r="6">
          <cell r="A6" t="str">
            <v/>
          </cell>
          <cell r="B6">
            <v>0</v>
          </cell>
          <cell r="C6">
            <v>0</v>
          </cell>
          <cell r="D6">
            <v>0</v>
          </cell>
          <cell r="E6">
            <v>0</v>
          </cell>
          <cell r="F6" t="str">
            <v/>
          </cell>
        </row>
        <row r="7">
          <cell r="A7" t="str">
            <v/>
          </cell>
          <cell r="B7">
            <v>0</v>
          </cell>
          <cell r="C7">
            <v>0</v>
          </cell>
          <cell r="D7">
            <v>0</v>
          </cell>
          <cell r="E7">
            <v>0</v>
          </cell>
          <cell r="F7" t="str">
            <v/>
          </cell>
        </row>
        <row r="8">
          <cell r="A8" t="str">
            <v/>
          </cell>
          <cell r="B8">
            <v>0</v>
          </cell>
          <cell r="C8">
            <v>0</v>
          </cell>
          <cell r="D8">
            <v>0</v>
          </cell>
          <cell r="E8">
            <v>0</v>
          </cell>
          <cell r="F8" t="str">
            <v/>
          </cell>
        </row>
        <row r="9">
          <cell r="A9" t="str">
            <v/>
          </cell>
          <cell r="B9">
            <v>0</v>
          </cell>
          <cell r="C9">
            <v>0</v>
          </cell>
          <cell r="D9">
            <v>0</v>
          </cell>
          <cell r="E9">
            <v>0</v>
          </cell>
          <cell r="F9" t="str">
            <v/>
          </cell>
        </row>
      </sheetData>
      <sheetData sheetId="4"/>
      <sheetData sheetId="5">
        <row r="10">
          <cell r="B10">
            <v>0</v>
          </cell>
          <cell r="C10">
            <v>0</v>
          </cell>
          <cell r="D10">
            <v>0</v>
          </cell>
          <cell r="E10">
            <v>0</v>
          </cell>
          <cell r="F10" t="str">
            <v>X</v>
          </cell>
          <cell r="G10">
            <v>0</v>
          </cell>
          <cell r="H10">
            <v>0</v>
          </cell>
          <cell r="I10">
            <v>0</v>
          </cell>
          <cell r="J10">
            <v>0</v>
          </cell>
          <cell r="L10" t="str">
            <v/>
          </cell>
          <cell r="M10" t="str">
            <v>X</v>
          </cell>
        </row>
      </sheetData>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sheetName val="IdentRiesgo"/>
      <sheetName val="DefRiesgoCorrup"/>
      <sheetName val="ImpactoRiesgoCorrup"/>
      <sheetName val="AnálisisRiesgo"/>
      <sheetName val="EvaluaciónRiesgoCorrup"/>
      <sheetName val="EvaluaciónRiesgoGestión"/>
      <sheetName val="MapaRiesgos,"/>
      <sheetName val="Anterior"/>
      <sheetName val="MapaRiesgos Gener datos e inf "/>
    </sheetNames>
    <sheetDataSet>
      <sheetData sheetId="0" refreshError="1"/>
      <sheetData sheetId="1" refreshError="1">
        <row r="2">
          <cell r="B2" t="str">
            <v>Generación de Datos e Información Hidrometeorológica y Ambiental para la toma de decisiones</v>
          </cell>
        </row>
        <row r="3">
          <cell r="B3" t="str">
            <v>Generar datos e información hidrometeorologica y ambiental que apoyen la investigación y el conocimiento como soporte para la toma de decisiones</v>
          </cell>
        </row>
      </sheetData>
      <sheetData sheetId="2" refreshError="1"/>
      <sheetData sheetId="3" refreshError="1"/>
      <sheetData sheetId="4" refreshError="1"/>
      <sheetData sheetId="5" refreshError="1">
        <row r="11">
          <cell r="F11">
            <v>85</v>
          </cell>
        </row>
      </sheetData>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sheetName val="IdentRiesgo"/>
      <sheetName val="DefRiesgoCorrup"/>
      <sheetName val="ImpactoRiesgoCorrup"/>
      <sheetName val="AnálisisRiesgo"/>
      <sheetName val="EvaluaciónRiesgoCorrup"/>
      <sheetName val="EvaluaciónRiesgoGestión"/>
      <sheetName val="MapaRiesgos,"/>
      <sheetName val="Anterior"/>
      <sheetName val="MapaRiesgos Gen Conoci e Inv "/>
    </sheetNames>
    <sheetDataSet>
      <sheetData sheetId="0" refreshError="1"/>
      <sheetData sheetId="1" refreshError="1">
        <row r="2">
          <cell r="B2" t="str">
            <v>Generación de conocimiento e investigación</v>
          </cell>
        </row>
        <row r="3">
          <cell r="B3" t="str">
            <v xml:space="preserve">Generar conocimiento e investigación sobre la dinámica de los recursos naturales y su interacción con la sociedad, para la toma de decisiones.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sheetName val="IdentRiesgo"/>
      <sheetName val="DefRiesgoCorrup"/>
      <sheetName val="ImpactoRiesgoCorrup"/>
      <sheetName val="AnálisisRiesgo"/>
      <sheetName val="EvaluaciónRiesgoCorrup"/>
      <sheetName val="EvaluaciónRiesgoGestión"/>
      <sheetName val="MapaRiesgos,"/>
      <sheetName val="Anterior"/>
      <sheetName val="MapaRiesgos Servicios"/>
    </sheetNames>
    <sheetDataSet>
      <sheetData sheetId="0"/>
      <sheetData sheetId="1">
        <row r="2">
          <cell r="B2" t="str">
            <v>Servicios (Laboratorio, Acreditación de laboratorios, Aeronáutica, Pronosticos, Redes).</v>
          </cell>
        </row>
        <row r="3">
          <cell r="B3" t="str">
            <v>Satisfacer las necesidades y expectativas de los usuarios y dar respuesta pertinente, confiable y oportuna de los servicios relacionados con las actividades misionales del Instituto.</v>
          </cell>
        </row>
      </sheetData>
      <sheetData sheetId="2"/>
      <sheetData sheetId="3"/>
      <sheetData sheetId="4">
        <row r="9">
          <cell r="B9">
            <v>0</v>
          </cell>
        </row>
      </sheetData>
      <sheetData sheetId="5">
        <row r="11">
          <cell r="F11">
            <v>85</v>
          </cell>
        </row>
      </sheetData>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sheetName val="IdentRiesgo"/>
      <sheetName val="DefRiesgoCorrup"/>
      <sheetName val="ImpactoRiesgoCorrup R1"/>
      <sheetName val="AnálisisRiesgo"/>
      <sheetName val="EvaluaciónRiesgoCorrupR1"/>
      <sheetName val="EvaluaciónRiesgoGestión"/>
      <sheetName val="MapaRiesgos,"/>
      <sheetName val="Anterior"/>
      <sheetName val="MapaRiesgos Gest Juríd Contract"/>
    </sheetNames>
    <sheetDataSet>
      <sheetData sheetId="0" refreshError="1"/>
      <sheetData sheetId="1" refreshError="1">
        <row r="2">
          <cell r="B2" t="str">
            <v xml:space="preserve">Gestión Jurídica y Contractual </v>
          </cell>
        </row>
        <row r="3">
          <cell r="B3" t="str">
            <v>Asesorar a las diferentes dependencias del Instituto en temas de carácter contractual en sus diferentes etapas (precontractual, contractual y postcontractual), verificando que las mismas se ajustan a la normatividad vigente.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sheetName val="IdentRiesgo"/>
      <sheetName val="DefRiesgoCorrup"/>
      <sheetName val="ImpactoRiesgoCorrup 1"/>
      <sheetName val="AnálisisRiesgo"/>
      <sheetName val="EvaluaciónRiesgoCorrup 1"/>
      <sheetName val="EvaluaciónRiesgoGestión"/>
      <sheetName val="MapaRiesgos,"/>
      <sheetName val="Anterior"/>
      <sheetName val="MapaRiesgos Atención ciudadano"/>
    </sheetNames>
    <sheetDataSet>
      <sheetData sheetId="0"/>
      <sheetData sheetId="1">
        <row r="2">
          <cell r="B2" t="str">
            <v>ATENCION AL CIUDADANO</v>
          </cell>
        </row>
        <row r="3">
          <cell r="B3" t="str">
            <v>Brindar a los usuarios internos y externos del Instituto, una atención y orientación oportuna, eficaz y eficiente, con calidad, garantizando un trato amable y el acceso efectivo a la información que genera el IDEAM.</v>
          </cell>
        </row>
      </sheetData>
      <sheetData sheetId="2"/>
      <sheetData sheetId="3"/>
      <sheetData sheetId="4">
        <row r="9">
          <cell r="B9">
            <v>0</v>
          </cell>
        </row>
      </sheetData>
      <sheetData sheetId="5">
        <row r="11">
          <cell r="F11">
            <v>100</v>
          </cell>
        </row>
      </sheetData>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stratégico (2)"/>
      <sheetName val="ContextEstratégico"/>
      <sheetName val="IdentificaciónRiesgos"/>
      <sheetName val="DefiniciónRiesgos"/>
      <sheetName val="ImpactoRiesgoCorrupción"/>
      <sheetName val="AnálisisRiesgos"/>
      <sheetName val="EvaluaciónRiesgos"/>
      <sheetName val="MapaRiesgos,"/>
      <sheetName val="Anterior"/>
      <sheetName val="MapaRiesgos"/>
    </sheetNames>
    <sheetDataSet>
      <sheetData sheetId="0" refreshError="1"/>
      <sheetData sheetId="1" refreshError="1"/>
      <sheetData sheetId="2" refreshError="1">
        <row r="6">
          <cell r="A6" t="str">
            <v>1.- La no aplicación de los Procesos y Procedimientos de Atención al Ciudadano.
2.- Desconocimiento de sus obligaciones como servidor público. 
3.- No contar con condiciones ténicas, administrativas, legales y financieras</v>
          </cell>
        </row>
        <row r="8">
          <cell r="A8" t="str">
            <v>1.- Funcionarios predispuestos a la materialización de conductas de corrupción. 
2.- La no aplicación de los Procesos y Procedimientos de Atención al Ciudadano.</v>
          </cell>
          <cell r="B8" t="str">
            <v>Solicitar o aceptar pagos o cualquier otra clase de beneficio.</v>
          </cell>
          <cell r="C8" t="str">
            <v xml:space="preserve">Solicitar o aceptar pagos o cualquier otra clase de beneficio, a cambio de dar cumplimiento a las obligaciones propias del cargo asignado al Grupo de Atención al Ciudadano. </v>
          </cell>
          <cell r="D8" t="str">
            <v>Tutelas, Demandas Adminitrativas, Responsabilidad Penal y Disciplinaria y pérdida de la credibilidad.</v>
          </cell>
        </row>
      </sheetData>
      <sheetData sheetId="3" refreshError="1">
        <row r="4">
          <cell r="A4" t="str">
            <v>Incumplir los tiempos de respuesta establecidos por la norma para la atención de PQRSD.</v>
          </cell>
          <cell r="B4">
            <v>0</v>
          </cell>
          <cell r="C4">
            <v>0</v>
          </cell>
          <cell r="D4">
            <v>0</v>
          </cell>
          <cell r="E4">
            <v>0</v>
          </cell>
          <cell r="F4" t="str">
            <v>RIESGO DE GESTIÓN</v>
          </cell>
        </row>
        <row r="5">
          <cell r="A5" t="str">
            <v xml:space="preserve">Atención inadecuada al ciudadano y falta de calidad en la respuesta, por falta de manejo en los protocolos estiupulados por el Instituto. </v>
          </cell>
          <cell r="B5">
            <v>0</v>
          </cell>
          <cell r="C5">
            <v>0</v>
          </cell>
          <cell r="D5">
            <v>0</v>
          </cell>
          <cell r="E5">
            <v>0</v>
          </cell>
          <cell r="F5" t="str">
            <v>RIESGO DE GESTIÓN</v>
          </cell>
        </row>
        <row r="6">
          <cell r="A6" t="str">
            <v xml:space="preserve">Solicitar o aceptar pagos o cualquier otra clase de beneficio, a cambio de dar cumplimiento a las obligaciones propias del cargo asignado al Grupo de Atención al Ciudadano. </v>
          </cell>
          <cell r="B6" t="str">
            <v>X</v>
          </cell>
          <cell r="C6" t="str">
            <v>X</v>
          </cell>
          <cell r="D6" t="str">
            <v>X</v>
          </cell>
          <cell r="E6" t="str">
            <v>X</v>
          </cell>
          <cell r="F6" t="str">
            <v>RIESGO DE CORRUPCIÓN</v>
          </cell>
        </row>
        <row r="7">
          <cell r="A7" t="str">
            <v/>
          </cell>
          <cell r="B7">
            <v>0</v>
          </cell>
          <cell r="C7">
            <v>0</v>
          </cell>
          <cell r="D7">
            <v>0</v>
          </cell>
          <cell r="E7">
            <v>0</v>
          </cell>
          <cell r="F7" t="str">
            <v/>
          </cell>
        </row>
        <row r="8">
          <cell r="A8" t="str">
            <v/>
          </cell>
          <cell r="B8">
            <v>0</v>
          </cell>
          <cell r="C8">
            <v>0</v>
          </cell>
          <cell r="D8">
            <v>0</v>
          </cell>
          <cell r="E8">
            <v>0</v>
          </cell>
          <cell r="F8" t="str">
            <v/>
          </cell>
        </row>
        <row r="9">
          <cell r="A9" t="str">
            <v/>
          </cell>
          <cell r="B9">
            <v>0</v>
          </cell>
          <cell r="C9">
            <v>0</v>
          </cell>
          <cell r="D9">
            <v>0</v>
          </cell>
          <cell r="E9">
            <v>0</v>
          </cell>
          <cell r="F9" t="str">
            <v/>
          </cell>
        </row>
      </sheetData>
      <sheetData sheetId="4" refreshError="1"/>
      <sheetData sheetId="5" refreshError="1">
        <row r="9">
          <cell r="B9">
            <v>0</v>
          </cell>
        </row>
        <row r="11">
          <cell r="B11">
            <v>0</v>
          </cell>
          <cell r="C11">
            <v>0</v>
          </cell>
          <cell r="D11">
            <v>0</v>
          </cell>
          <cell r="E11">
            <v>0</v>
          </cell>
          <cell r="F11" t="str">
            <v>X</v>
          </cell>
          <cell r="G11">
            <v>0</v>
          </cell>
          <cell r="H11">
            <v>0</v>
          </cell>
          <cell r="I11">
            <v>0</v>
          </cell>
          <cell r="J11">
            <v>0</v>
          </cell>
          <cell r="L11" t="str">
            <v>X</v>
          </cell>
          <cell r="M11" t="str">
            <v/>
          </cell>
        </row>
      </sheetData>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32"/>
  <sheetViews>
    <sheetView showGridLines="0" view="pageBreakPreview" topLeftCell="D9" zoomScaleNormal="30" zoomScaleSheetLayoutView="100" workbookViewId="0">
      <selection activeCell="D17" sqref="D17"/>
    </sheetView>
  </sheetViews>
  <sheetFormatPr baseColWidth="10" defaultColWidth="11.42578125" defaultRowHeight="14.25" x14ac:dyDescent="0.25"/>
  <cols>
    <col min="1" max="1" width="41.28515625" style="2" customWidth="1"/>
    <col min="2" max="2" width="40.42578125" style="2" customWidth="1"/>
    <col min="3" max="3" width="40.42578125" style="115" customWidth="1"/>
    <col min="4" max="4" width="40.42578125" style="2" customWidth="1"/>
    <col min="5" max="5" width="40.42578125" style="115" customWidth="1"/>
    <col min="6" max="6" width="27" style="5" customWidth="1"/>
    <col min="7" max="7" width="27" style="118" customWidth="1"/>
    <col min="8" max="8" width="19" style="5" customWidth="1"/>
    <col min="9" max="9" width="19" style="118" customWidth="1"/>
    <col min="10" max="10" width="26.7109375" style="5" customWidth="1"/>
    <col min="11" max="11" width="29.7109375" style="2" customWidth="1"/>
    <col min="12" max="15" width="29.7109375" style="115" customWidth="1"/>
    <col min="16" max="16" width="21.7109375" style="115" customWidth="1"/>
    <col min="17" max="17" width="19.85546875" style="2" customWidth="1"/>
    <col min="18" max="18" width="56" style="2" customWidth="1"/>
    <col min="19" max="19" width="27" style="2" customWidth="1"/>
    <col min="20" max="20" width="26.42578125" style="5" customWidth="1"/>
    <col min="21" max="21" width="86" style="2" customWidth="1"/>
    <col min="22" max="22" width="30.42578125" style="2" customWidth="1"/>
    <col min="23" max="23" width="44.42578125" style="2" customWidth="1"/>
    <col min="24" max="24" width="64.85546875" style="441" customWidth="1"/>
    <col min="25" max="25" width="30.42578125" style="2" customWidth="1"/>
    <col min="26" max="26" width="36" style="2" hidden="1" customWidth="1"/>
    <col min="27" max="27" width="0" style="2" hidden="1" customWidth="1"/>
    <col min="28" max="74" width="11.42578125" style="2" hidden="1" customWidth="1"/>
    <col min="75" max="75" width="11.42578125" style="2" customWidth="1"/>
    <col min="76" max="16384" width="11.42578125" style="2"/>
  </cols>
  <sheetData>
    <row r="1" spans="1:74" ht="21" customHeight="1" x14ac:dyDescent="0.25">
      <c r="A1" s="573"/>
      <c r="B1" s="573"/>
      <c r="C1" s="573"/>
      <c r="D1" s="573"/>
      <c r="E1" s="72"/>
      <c r="F1" s="574" t="s">
        <v>0</v>
      </c>
      <c r="G1" s="575"/>
      <c r="H1" s="575"/>
      <c r="I1" s="575"/>
      <c r="J1" s="575"/>
      <c r="K1" s="575"/>
      <c r="L1" s="575"/>
      <c r="M1" s="575"/>
      <c r="N1" s="575"/>
      <c r="O1" s="575"/>
      <c r="P1" s="575"/>
      <c r="Q1" s="575"/>
      <c r="R1" s="575"/>
      <c r="S1" s="575"/>
      <c r="T1" s="575"/>
      <c r="U1" s="576"/>
      <c r="V1" s="583" t="s">
        <v>224</v>
      </c>
      <c r="W1" s="584"/>
      <c r="X1" s="450"/>
      <c r="Y1" s="1"/>
      <c r="Z1" s="1"/>
    </row>
    <row r="2" spans="1:74" ht="22.5" customHeight="1" x14ac:dyDescent="0.25">
      <c r="A2" s="573"/>
      <c r="B2" s="573"/>
      <c r="C2" s="573"/>
      <c r="D2" s="573"/>
      <c r="E2" s="73"/>
      <c r="F2" s="577"/>
      <c r="G2" s="578"/>
      <c r="H2" s="578"/>
      <c r="I2" s="578"/>
      <c r="J2" s="578"/>
      <c r="K2" s="578"/>
      <c r="L2" s="578"/>
      <c r="M2" s="578"/>
      <c r="N2" s="578"/>
      <c r="O2" s="578"/>
      <c r="P2" s="578"/>
      <c r="Q2" s="578"/>
      <c r="R2" s="578"/>
      <c r="S2" s="578"/>
      <c r="T2" s="578"/>
      <c r="U2" s="579"/>
      <c r="V2" s="583" t="s">
        <v>149</v>
      </c>
      <c r="W2" s="584"/>
      <c r="X2" s="450"/>
      <c r="Y2" s="1"/>
      <c r="Z2" s="1"/>
    </row>
    <row r="3" spans="1:74" ht="21" customHeight="1" x14ac:dyDescent="0.25">
      <c r="A3" s="573"/>
      <c r="B3" s="573"/>
      <c r="C3" s="573"/>
      <c r="D3" s="573"/>
      <c r="E3" s="73"/>
      <c r="F3" s="577"/>
      <c r="G3" s="578"/>
      <c r="H3" s="578"/>
      <c r="I3" s="578"/>
      <c r="J3" s="578"/>
      <c r="K3" s="578"/>
      <c r="L3" s="578"/>
      <c r="M3" s="578"/>
      <c r="N3" s="578"/>
      <c r="O3" s="578"/>
      <c r="P3" s="578"/>
      <c r="Q3" s="578"/>
      <c r="R3" s="578"/>
      <c r="S3" s="578"/>
      <c r="T3" s="578"/>
      <c r="U3" s="579"/>
      <c r="V3" s="583" t="s">
        <v>150</v>
      </c>
      <c r="W3" s="584"/>
      <c r="X3" s="450"/>
      <c r="Y3" s="1"/>
      <c r="Z3" s="1"/>
    </row>
    <row r="4" spans="1:74" ht="20.25" customHeight="1" x14ac:dyDescent="0.25">
      <c r="A4" s="573"/>
      <c r="B4" s="573"/>
      <c r="C4" s="573"/>
      <c r="D4" s="573"/>
      <c r="E4" s="74"/>
      <c r="F4" s="580"/>
      <c r="G4" s="581"/>
      <c r="H4" s="581"/>
      <c r="I4" s="581"/>
      <c r="J4" s="581"/>
      <c r="K4" s="581"/>
      <c r="L4" s="581"/>
      <c r="M4" s="581"/>
      <c r="N4" s="581"/>
      <c r="O4" s="581"/>
      <c r="P4" s="581"/>
      <c r="Q4" s="581"/>
      <c r="R4" s="581"/>
      <c r="S4" s="581"/>
      <c r="T4" s="581"/>
      <c r="U4" s="582"/>
      <c r="V4" s="583" t="s">
        <v>1</v>
      </c>
      <c r="W4" s="584"/>
      <c r="X4" s="450"/>
      <c r="Y4" s="1"/>
      <c r="Z4" s="1"/>
    </row>
    <row r="5" spans="1:74" ht="8.25" customHeight="1" x14ac:dyDescent="0.25">
      <c r="B5" s="3"/>
      <c r="C5" s="116"/>
      <c r="D5" s="3"/>
      <c r="E5" s="116"/>
      <c r="F5" s="4"/>
      <c r="G5" s="117"/>
      <c r="H5" s="4"/>
      <c r="I5" s="117"/>
      <c r="J5" s="4"/>
      <c r="K5" s="4"/>
      <c r="L5" s="117"/>
      <c r="M5" s="117"/>
      <c r="N5" s="117"/>
      <c r="O5" s="117"/>
      <c r="P5" s="117"/>
      <c r="Q5" s="4"/>
      <c r="R5" s="4"/>
      <c r="Y5" s="6"/>
      <c r="Z5" s="6"/>
    </row>
    <row r="6" spans="1:74" ht="15" x14ac:dyDescent="0.25">
      <c r="A6" s="553" t="s">
        <v>2</v>
      </c>
      <c r="B6" s="553"/>
      <c r="C6" s="553"/>
      <c r="D6" s="553"/>
      <c r="E6" s="75"/>
      <c r="F6" s="567" t="str">
        <f>[1]IdentRiesgo!B2</f>
        <v>GESTIÓN DE COMUNICACIONES</v>
      </c>
      <c r="G6" s="568"/>
      <c r="H6" s="568"/>
      <c r="I6" s="568"/>
      <c r="J6" s="568"/>
      <c r="K6" s="568"/>
      <c r="L6" s="568"/>
      <c r="M6" s="568"/>
      <c r="N6" s="568"/>
      <c r="O6" s="568"/>
      <c r="P6" s="568"/>
      <c r="Q6" s="568"/>
      <c r="R6" s="568"/>
      <c r="S6" s="568"/>
      <c r="T6" s="568"/>
      <c r="U6" s="568"/>
      <c r="V6" s="568"/>
      <c r="W6" s="569"/>
      <c r="X6" s="445"/>
      <c r="Y6" s="6"/>
      <c r="Z6" s="6"/>
    </row>
    <row r="7" spans="1:74" ht="6.75" customHeight="1" x14ac:dyDescent="0.25">
      <c r="B7" s="3"/>
      <c r="C7" s="116"/>
      <c r="D7" s="3"/>
      <c r="E7" s="116"/>
      <c r="F7" s="7"/>
      <c r="G7" s="121"/>
      <c r="H7" s="7"/>
      <c r="I7" s="121"/>
      <c r="J7" s="7"/>
      <c r="K7" s="7"/>
      <c r="L7" s="121"/>
      <c r="M7" s="121"/>
      <c r="N7" s="121"/>
      <c r="O7" s="121"/>
      <c r="P7" s="121"/>
      <c r="Q7" s="7"/>
      <c r="R7" s="7"/>
      <c r="S7" s="8"/>
      <c r="T7" s="8"/>
      <c r="U7" s="8"/>
      <c r="V7" s="8"/>
      <c r="W7" s="8"/>
      <c r="X7" s="444"/>
      <c r="Y7" s="6"/>
      <c r="Z7" s="6"/>
    </row>
    <row r="8" spans="1:74" ht="39.75" customHeight="1" x14ac:dyDescent="0.25">
      <c r="A8" s="553" t="s">
        <v>3</v>
      </c>
      <c r="B8" s="553"/>
      <c r="C8" s="553"/>
      <c r="D8" s="553"/>
      <c r="E8" s="75"/>
      <c r="F8" s="570" t="str">
        <f>[1]IdentRiesgo!B3</f>
        <v xml:space="preserve">Diseñar, estandarizar, promover y evaluar las estrategias de comunicación interna y externa y de redes sociales del Instituto, que permitan mantener informados a los clientes y/o usuarios sobre las decisiones, acontecimientos y demás hechos de interés general, promovidos y/o organizados por la entidad.
</v>
      </c>
      <c r="G8" s="571"/>
      <c r="H8" s="571"/>
      <c r="I8" s="571"/>
      <c r="J8" s="571"/>
      <c r="K8" s="571"/>
      <c r="L8" s="571"/>
      <c r="M8" s="571"/>
      <c r="N8" s="571"/>
      <c r="O8" s="571"/>
      <c r="P8" s="571"/>
      <c r="Q8" s="571"/>
      <c r="R8" s="571"/>
      <c r="S8" s="571"/>
      <c r="T8" s="571"/>
      <c r="U8" s="571"/>
      <c r="V8" s="571"/>
      <c r="W8" s="572"/>
      <c r="X8" s="451"/>
      <c r="Y8" s="9"/>
      <c r="Z8" s="9"/>
    </row>
    <row r="9" spans="1:74" ht="6.75" customHeight="1" x14ac:dyDescent="0.25">
      <c r="B9" s="10"/>
      <c r="C9" s="119"/>
      <c r="D9" s="10"/>
      <c r="E9" s="119"/>
      <c r="F9" s="11"/>
      <c r="G9" s="122"/>
      <c r="H9" s="11"/>
      <c r="I9" s="122"/>
      <c r="J9" s="11"/>
      <c r="K9" s="11"/>
      <c r="L9" s="122"/>
      <c r="M9" s="122"/>
      <c r="N9" s="122"/>
      <c r="O9" s="122"/>
      <c r="P9" s="122"/>
      <c r="Q9" s="11"/>
      <c r="R9" s="11"/>
      <c r="S9" s="8"/>
      <c r="T9" s="8"/>
      <c r="U9" s="8"/>
      <c r="V9" s="8"/>
      <c r="W9" s="8"/>
      <c r="X9" s="444"/>
      <c r="Y9" s="6"/>
      <c r="Z9" s="6"/>
    </row>
    <row r="10" spans="1:74" ht="15" x14ac:dyDescent="0.25">
      <c r="A10" s="553" t="s">
        <v>4</v>
      </c>
      <c r="B10" s="553"/>
      <c r="C10" s="553"/>
      <c r="D10" s="553"/>
      <c r="E10" s="75"/>
      <c r="F10" s="554"/>
      <c r="G10" s="555"/>
      <c r="H10" s="555"/>
      <c r="I10" s="555"/>
      <c r="J10" s="555"/>
      <c r="K10" s="555"/>
      <c r="L10" s="555"/>
      <c r="M10" s="555"/>
      <c r="N10" s="555"/>
      <c r="O10" s="555"/>
      <c r="P10" s="555"/>
      <c r="Q10" s="555"/>
      <c r="R10" s="555"/>
      <c r="S10" s="555"/>
      <c r="T10" s="555"/>
      <c r="U10" s="555"/>
      <c r="V10" s="555"/>
      <c r="W10" s="556"/>
      <c r="X10" s="443"/>
      <c r="Y10" s="12"/>
      <c r="Z10" s="12"/>
    </row>
    <row r="11" spans="1:74" ht="5.25" customHeight="1" x14ac:dyDescent="0.25">
      <c r="B11" s="3"/>
      <c r="C11" s="116"/>
      <c r="D11" s="3"/>
      <c r="E11" s="116"/>
      <c r="F11" s="13"/>
      <c r="G11" s="141"/>
      <c r="H11" s="13"/>
      <c r="I11" s="141"/>
      <c r="J11" s="13"/>
      <c r="K11" s="13"/>
      <c r="L11" s="141"/>
      <c r="M11" s="141"/>
      <c r="N11" s="141"/>
      <c r="O11" s="141"/>
      <c r="P11" s="141"/>
      <c r="Q11" s="13"/>
      <c r="R11" s="13"/>
      <c r="S11" s="8"/>
      <c r="T11" s="8"/>
      <c r="U11" s="8"/>
      <c r="V11" s="8"/>
      <c r="W11" s="8"/>
      <c r="X11" s="444"/>
      <c r="Y11" s="6"/>
      <c r="Z11" s="6"/>
    </row>
    <row r="12" spans="1:74" ht="15" x14ac:dyDescent="0.25">
      <c r="A12" s="553" t="s">
        <v>5</v>
      </c>
      <c r="B12" s="553"/>
      <c r="C12" s="553"/>
      <c r="D12" s="553"/>
      <c r="E12" s="75"/>
      <c r="F12" s="554" t="s">
        <v>300</v>
      </c>
      <c r="G12" s="555"/>
      <c r="H12" s="555"/>
      <c r="I12" s="555"/>
      <c r="J12" s="555"/>
      <c r="K12" s="555"/>
      <c r="L12" s="555"/>
      <c r="M12" s="555"/>
      <c r="N12" s="555"/>
      <c r="O12" s="555"/>
      <c r="P12" s="555"/>
      <c r="Q12" s="555"/>
      <c r="R12" s="555"/>
      <c r="S12" s="555"/>
      <c r="T12" s="555"/>
      <c r="U12" s="555"/>
      <c r="V12" s="555"/>
      <c r="W12" s="556"/>
      <c r="X12" s="443"/>
      <c r="Y12" s="12"/>
      <c r="Z12" s="12"/>
      <c r="AC12" s="2" t="s">
        <v>6</v>
      </c>
    </row>
    <row r="13" spans="1:74" ht="15.75" thickBot="1" x14ac:dyDescent="0.3">
      <c r="B13" s="3"/>
      <c r="C13" s="116"/>
      <c r="D13" s="3"/>
      <c r="E13" s="116"/>
      <c r="F13" s="14"/>
      <c r="G13" s="123"/>
      <c r="H13" s="15"/>
      <c r="I13" s="120"/>
      <c r="J13" s="15"/>
      <c r="K13" s="7"/>
      <c r="L13" s="121"/>
      <c r="M13" s="121"/>
      <c r="N13" s="121"/>
      <c r="O13" s="121"/>
      <c r="P13" s="121"/>
      <c r="Q13" s="7"/>
      <c r="R13" s="7"/>
      <c r="S13" s="7"/>
      <c r="T13" s="15"/>
      <c r="U13" s="7"/>
      <c r="Y13" s="6"/>
      <c r="Z13" s="6"/>
      <c r="AC13" s="2" t="s">
        <v>7</v>
      </c>
      <c r="AI13" s="557" t="s">
        <v>8</v>
      </c>
      <c r="AJ13" s="557"/>
      <c r="AK13" s="557"/>
      <c r="AL13" s="557"/>
      <c r="AM13" s="557"/>
      <c r="AN13" s="557"/>
      <c r="AO13" s="557"/>
      <c r="AP13" s="557"/>
      <c r="AQ13" s="557"/>
      <c r="AR13" s="557"/>
      <c r="AS13" s="557"/>
      <c r="AT13" s="557"/>
      <c r="AU13" s="557"/>
      <c r="AV13" s="557"/>
      <c r="AW13" s="557"/>
      <c r="AX13" s="557"/>
      <c r="AY13" s="557"/>
      <c r="AZ13" s="557"/>
      <c r="BA13" s="557"/>
      <c r="BC13" s="557" t="s">
        <v>9</v>
      </c>
      <c r="BD13" s="557"/>
      <c r="BE13" s="557"/>
      <c r="BF13" s="557"/>
      <c r="BG13" s="557"/>
      <c r="BH13" s="557"/>
      <c r="BI13" s="557"/>
      <c r="BJ13" s="557"/>
      <c r="BK13" s="557"/>
      <c r="BL13" s="557"/>
      <c r="BM13" s="557"/>
      <c r="BN13" s="557"/>
      <c r="BO13" s="557"/>
      <c r="BP13" s="557"/>
      <c r="BQ13" s="557"/>
      <c r="BR13" s="557"/>
      <c r="BS13" s="557"/>
      <c r="BT13" s="557"/>
      <c r="BU13" s="557"/>
      <c r="BV13" s="557"/>
    </row>
    <row r="14" spans="1:74" s="17" customFormat="1" ht="15" customHeight="1" x14ac:dyDescent="0.25">
      <c r="A14" s="558" t="s">
        <v>10</v>
      </c>
      <c r="B14" s="559"/>
      <c r="C14" s="559"/>
      <c r="D14" s="560"/>
      <c r="E14" s="76"/>
      <c r="F14" s="561" t="s">
        <v>11</v>
      </c>
      <c r="G14" s="561"/>
      <c r="H14" s="561"/>
      <c r="I14" s="136"/>
      <c r="J14" s="16"/>
      <c r="K14" s="562" t="s">
        <v>12</v>
      </c>
      <c r="L14" s="284"/>
      <c r="M14" s="284"/>
      <c r="N14" s="284"/>
      <c r="O14" s="284"/>
      <c r="P14" s="272"/>
      <c r="Q14" s="565" t="s">
        <v>14</v>
      </c>
      <c r="R14" s="565"/>
      <c r="S14" s="565"/>
      <c r="T14" s="565" t="s">
        <v>15</v>
      </c>
      <c r="U14" s="565"/>
      <c r="V14" s="561"/>
      <c r="W14" s="561"/>
      <c r="X14" s="452"/>
    </row>
    <row r="15" spans="1:74" s="17" customFormat="1" ht="14.25" customHeight="1" x14ac:dyDescent="0.25">
      <c r="A15" s="563" t="s">
        <v>16</v>
      </c>
      <c r="B15" s="563" t="s">
        <v>17</v>
      </c>
      <c r="C15" s="273" t="s">
        <v>70</v>
      </c>
      <c r="D15" s="563" t="s">
        <v>18</v>
      </c>
      <c r="E15" s="273"/>
      <c r="F15" s="543" t="s">
        <v>19</v>
      </c>
      <c r="G15" s="543"/>
      <c r="H15" s="543"/>
      <c r="I15" s="269"/>
      <c r="J15" s="54"/>
      <c r="K15" s="563"/>
      <c r="L15" s="285"/>
      <c r="M15" s="285"/>
      <c r="N15" s="285"/>
      <c r="O15" s="285"/>
      <c r="P15" s="271"/>
      <c r="Q15" s="548" t="s">
        <v>21</v>
      </c>
      <c r="R15" s="549"/>
      <c r="S15" s="550"/>
      <c r="T15" s="543" t="s">
        <v>22</v>
      </c>
      <c r="U15" s="543" t="s">
        <v>23</v>
      </c>
      <c r="V15" s="543" t="s">
        <v>4</v>
      </c>
      <c r="W15" s="543" t="s">
        <v>24</v>
      </c>
      <c r="X15" s="499"/>
    </row>
    <row r="16" spans="1:74" s="17" customFormat="1" ht="63" customHeight="1" thickBot="1" x14ac:dyDescent="0.3">
      <c r="A16" s="566"/>
      <c r="B16" s="566"/>
      <c r="C16" s="275"/>
      <c r="D16" s="566"/>
      <c r="E16" s="275" t="s">
        <v>71</v>
      </c>
      <c r="F16" s="54" t="s">
        <v>25</v>
      </c>
      <c r="G16" s="269" t="s">
        <v>70</v>
      </c>
      <c r="H16" s="54" t="s">
        <v>9</v>
      </c>
      <c r="I16" s="269" t="s">
        <v>70</v>
      </c>
      <c r="J16" s="54" t="s">
        <v>26</v>
      </c>
      <c r="K16" s="564"/>
      <c r="L16" s="274" t="s">
        <v>72</v>
      </c>
      <c r="M16" s="274" t="s">
        <v>25</v>
      </c>
      <c r="N16" s="274" t="s">
        <v>9</v>
      </c>
      <c r="O16" s="274" t="s">
        <v>26</v>
      </c>
      <c r="P16" s="275" t="s">
        <v>74</v>
      </c>
      <c r="Q16" s="54" t="s">
        <v>27</v>
      </c>
      <c r="R16" s="54" t="s">
        <v>23</v>
      </c>
      <c r="S16" s="54" t="s">
        <v>28</v>
      </c>
      <c r="T16" s="543"/>
      <c r="U16" s="543"/>
      <c r="V16" s="543"/>
      <c r="W16" s="543"/>
      <c r="X16" s="499"/>
    </row>
    <row r="17" spans="1:72" ht="409.5" customHeight="1" x14ac:dyDescent="0.25">
      <c r="A17" s="21" t="str">
        <f>[1]IdentRiesgo!A6</f>
        <v xml:space="preserve">Obetenr algun beneficio personal o dinero adicional, con la información técnico científica que genera el Instituto.
                                                                                                                                                                                                                                                                                                                                                                                                                                                                                                  </v>
      </c>
      <c r="B17" s="21" t="str">
        <f>[1]IdentRiesgo!B6</f>
        <v>Utilizar indebidamente la información noticiosa previo a su publicación en los diferentes canales como la Web, el Twitter o el Facebook de la Entidad.</v>
      </c>
      <c r="C17" s="276" t="s">
        <v>165</v>
      </c>
      <c r="D17" s="277" t="s">
        <v>166</v>
      </c>
      <c r="E17" s="278" t="s">
        <v>81</v>
      </c>
      <c r="F17" s="279">
        <v>3</v>
      </c>
      <c r="G17" s="280" t="s">
        <v>76</v>
      </c>
      <c r="H17" s="281">
        <v>10</v>
      </c>
      <c r="I17" s="282" t="s">
        <v>77</v>
      </c>
      <c r="J17" s="23" t="str">
        <f>CONCATENATE(Z17,AA17,AB17,AC17,AD17)</f>
        <v xml:space="preserve">  A  </v>
      </c>
      <c r="K17" s="283" t="s">
        <v>65</v>
      </c>
      <c r="L17" s="286"/>
      <c r="M17" s="551" t="s">
        <v>9</v>
      </c>
      <c r="N17" s="552"/>
      <c r="O17" s="287" t="s">
        <v>40</v>
      </c>
      <c r="P17" s="288" t="s">
        <v>89</v>
      </c>
      <c r="Q17" s="289" t="s">
        <v>29</v>
      </c>
      <c r="R17" s="24" t="s">
        <v>66</v>
      </c>
      <c r="S17" s="290" t="s">
        <v>167</v>
      </c>
      <c r="T17" s="291"/>
      <c r="U17" s="533"/>
      <c r="V17" s="460" t="s">
        <v>221</v>
      </c>
      <c r="W17" s="459"/>
      <c r="X17" s="525"/>
      <c r="Z17" s="26" t="str">
        <f>IF(AND(F17=1,H17=5),$H$23,IF(AND(F17=1,H17=10),$J$23,IF(AND(F17=1,H17=20),$K$23," ")))</f>
        <v xml:space="preserve"> </v>
      </c>
      <c r="AA17" s="26" t="str">
        <f>IF(AND(F17=2,H17=5),$H$24,IF(AND(F17=2,H17=10),$J$24,IF(AND(F17=2,H17=20),$K$24," ")))</f>
        <v xml:space="preserve"> </v>
      </c>
      <c r="AB17" s="26" t="str">
        <f>IF(AND(F17=3,H17=5),$H$25,IF(AND(F17=3,H17=10),$J$25,IF(AND(F17=3,H17=20),$K$25," ")))</f>
        <v>A</v>
      </c>
      <c r="AC17" s="26" t="str">
        <f>IF(AND(F17=4,H17=5),$H$26,IF(AND(F17=4,H17=10),$J$26,IF(AND(F17=4,H17=20),$K$26," ")))</f>
        <v xml:space="preserve"> </v>
      </c>
      <c r="AD17" s="26" t="str">
        <f>IF(AND(F17=5,H17=5),$H$27,IF(AND(F17=5,H17=10),$J$27,IF(AND(F17=5,H17=20),$K$27," ")))</f>
        <v xml:space="preserve"> </v>
      </c>
      <c r="AF17" s="27" t="s">
        <v>30</v>
      </c>
      <c r="AG17" s="26" t="e">
        <f>IF(AND(#REF!&gt;0,[1]EvaluaciónRiesgoCorrupR3!$F$11&gt;75,F17=1,H17=5),$H$23,IF(AND(#REF!&gt;0,[1]EvaluaciónRiesgoCorrupR3!$F$11&gt;75,F17=1,H17=10),$J$23,IF(AND(#REF!&gt;0,[1]EvaluaciónRiesgoCorrupR3!$F$11&gt;75,F17=1,H17=20),$K$23," ")))</f>
        <v>#REF!</v>
      </c>
      <c r="AH17" s="26" t="e">
        <f>IF(AND(#REF!&gt;0,[1]EvaluaciónRiesgoCorrupR3!$F$11&gt;75,F17=2,H17=5),$H$23,IF(AND(#REF!&gt;0,[1]EvaluaciónRiesgoCorrupR3!$F$11&gt;75,F17=2,H17=10),$J$23,IF(AND(#REF!&gt;0,[1]EvaluaciónRiesgoCorrupR3!$F$11&gt;75,F17=2,H17=20),$K$23," ")))</f>
        <v>#REF!</v>
      </c>
      <c r="AI17" s="26" t="e">
        <f>IF(AND(#REF!&gt;0,[1]EvaluaciónRiesgoCorrupR3!$F$11&gt;75,F17=3,H17=5),$H$23,IF(AND(#REF!&gt;0,[1]EvaluaciónRiesgoCorrupR3!$F$11&gt;75,F17=3,H17=10),$J$23,IF(AND(#REF!&gt;0,[1]EvaluaciónRiesgoCorrupR3!$F$11&gt;75,F17=3,H17=20),$K$23," ")))</f>
        <v>#REF!</v>
      </c>
      <c r="AJ17" s="26" t="e">
        <f>IF(AND(#REF!&gt;0,[1]EvaluaciónRiesgoCorrupR3!$F$11&gt;75,F17=4,H17=5),$H$24,IF(AND(#REF!&gt;0,[1]EvaluaciónRiesgoCorrupR3!$F$11&gt;75,F17=4,H17=10),$J$24,IF(AND(#REF!&gt;0,[1]EvaluaciónRiesgoCorrupR3!$F$11&gt;75,F17=4,H17=20),$K$24," ")))</f>
        <v>#REF!</v>
      </c>
      <c r="AK17" s="26" t="e">
        <f>IF(AND(#REF!&gt;0,[1]EvaluaciónRiesgoCorrupR3!$F$11&gt;75,F17=5,H17=5),$H$25,IF(AND(#REF!&gt;0,[1]EvaluaciónRiesgoCorrupR3!$F$11&gt;75,F17=5,H17=10),$J$25,IF(AND(#REF!&gt;0,[1]EvaluaciónRiesgoCorrupR3!$F$11&gt;75,F17=5,H17=20),$K$25," ")))</f>
        <v>#REF!</v>
      </c>
      <c r="AL17" s="27" t="s">
        <v>31</v>
      </c>
      <c r="AM17" s="26" t="e">
        <f>IF(AND(#REF!&gt;0,[1]EvaluaciónRiesgoCorrupR3!$F$11&gt;50,[1]EvaluaciónRiesgoCorrupR3!$F$11&lt;76,F17=1,H17=5),$H$23,IF(AND(#REF!&gt;0,[1]EvaluaciónRiesgoCorrupR3!$F$11&gt;50,[1]EvaluaciónRiesgoCorrupR3!$F$11&lt;76,F17=1,H17=10),$J$23,IF(AND(#REF!&gt;0,[1]EvaluaciónRiesgoCorrupR3!$F$11&gt;50,[1]EvaluaciónRiesgoCorrupR3!$F$11&lt;76,F17=1,H17=20),$K$23," ")))</f>
        <v>#REF!</v>
      </c>
      <c r="AN17" s="26" t="e">
        <f>IF(AND(#REF!&gt;0,[1]EvaluaciónRiesgoCorrupR3!$F$11&gt;50,[1]EvaluaciónRiesgoCorrupR3!$F$11&lt;76,F17=2,H17=5),$H$23,IF(AND(#REF!&gt;0,[1]EvaluaciónRiesgoCorrupR3!$F$11&gt;50,[1]EvaluaciónRiesgoCorrupR3!$F$11&lt;76,F17=2,H17=10),$J$23,IF(AND(#REF!&gt;0,[1]EvaluaciónRiesgoCorrupR3!$F$11&gt;50,[1]EvaluaciónRiesgoCorrupR3!$F$11&lt;76,F17=2,H17=20),$K$23," ")))</f>
        <v>#REF!</v>
      </c>
      <c r="AO17" s="26" t="e">
        <f>IF(AND(#REF!&gt;0,[1]EvaluaciónRiesgoCorrupR3!$F$11&gt;50,[1]EvaluaciónRiesgoCorrupR3!$F$11&lt;76,F17=3,H17=5),$H$24,IF(AND(#REF!&gt;0,[1]EvaluaciónRiesgoCorrupR3!$F$11&gt;50,[1]EvaluaciónRiesgoCorrupR3!$F$11&lt;76,F17=3,H17=10),$J$24,IF(AND(#REF!&gt;0,[1]EvaluaciónRiesgoCorrupR3!$F$11&gt;50,[1]EvaluaciónRiesgoCorrupR3!$F$11&lt;76,F17=3,H17=20),$K$24," ")))</f>
        <v>#REF!</v>
      </c>
      <c r="AP17" s="26" t="e">
        <f>IF(AND(#REF!&gt;0,[1]EvaluaciónRiesgoCorrupR3!$F$11&gt;50,[1]EvaluaciónRiesgoCorrupR3!$F$11&lt;76,F17=4,H17=5),$H$25,IF(AND(#REF!&gt;0,[1]EvaluaciónRiesgoCorrupR3!$F$11&gt;50,[1]EvaluaciónRiesgoCorrupR3!$F$11&lt;76,F17=4,H17=10),$J$25,IF(AND(#REF!&gt;0,[1]EvaluaciónRiesgoCorrupR3!$F$11&gt;50,[1]EvaluaciónRiesgoCorrupR3!$F$11&lt;76,F17=4,H17=20),$K$25," ")))</f>
        <v>#REF!</v>
      </c>
      <c r="AQ17" s="26" t="e">
        <f>IF(AND(#REF!&gt;0,[1]EvaluaciónRiesgoCorrupR3!$F$11&gt;50,[1]EvaluaciónRiesgoCorrupR3!$F$11&lt;76,F17=5,H17=5),$H$26,IF(AND(#REF!&gt;0,[1]EvaluaciónRiesgoCorrupR3!$F$11&gt;50,[1]EvaluaciónRiesgoCorrupR3!$F$11&lt;76,F17=5,H17=10),$J$26,IF(AND(#REF!&gt;0,[1]EvaluaciónRiesgoCorrupR3!$F$11&gt;50,[1]EvaluaciónRiesgoCorrupR3!$F$11&lt;76,F17=5,H17=20),$K$26," ")))</f>
        <v>#REF!</v>
      </c>
      <c r="AS17" s="27" t="s">
        <v>32</v>
      </c>
      <c r="AT17" s="26" t="e">
        <f>IF(AND(#REF!&gt;0,[1]EvaluaciónRiesgoCorrupR3!$F$11&lt;51,F17=1,H17=5),$H$23,IF(AND(#REF!&gt;0,[1]EvaluaciónRiesgoCorrupR3!$F$11&lt;51,F17=1,H17=10),$J$23,IF(AND(#REF!&gt;0,[1]EvaluaciónRiesgoCorrupR3!$F$11&lt;51,F17=1,H17=20),K$23," ")))</f>
        <v>#REF!</v>
      </c>
      <c r="AU17" s="26" t="e">
        <f>IF(AND(#REF!&gt;0,[1]EvaluaciónRiesgoCorrupR3!$F$11&lt;51,F17=2,H17=5),$H$24,IF(AND(#REF!&gt;0,[1]EvaluaciónRiesgoCorrupR3!$F$11&lt;51,F17=2,H17=10),$J$24,IF(AND(#REF!&gt;0,[1]EvaluaciónRiesgoCorrupR3!$F$11&lt;51,F17=2,H17=20),K$24," ")))</f>
        <v>#REF!</v>
      </c>
      <c r="AV17" s="26" t="e">
        <f>IF(AND(#REF!&gt;0,[1]EvaluaciónRiesgoCorrupR3!$F$11&lt;51,F17=3,H17=5),$H$25,IF(AND(#REF!&gt;0,[1]EvaluaciónRiesgoCorrupR3!$F$11&lt;51,F17=3,H17=10),$J$25,IF(AND(#REF!&gt;0,[1]EvaluaciónRiesgoCorrupR3!$F$11&lt;51,F17=3,H17=20),K$25," ")))</f>
        <v>#REF!</v>
      </c>
      <c r="AW17" s="26" t="e">
        <f>IF(AND(#REF!&gt;0,[1]EvaluaciónRiesgoCorrupR3!$F$11&lt;51,F17=4,H17=5),$H$26,IF(AND(#REF!&gt;0,[1]EvaluaciónRiesgoCorrupR3!$F$11&lt;51,F17=4,H17=10),$J$26,IF(AND(#REF!&gt;0,[1]EvaluaciónRiesgoCorrupR3!$F$11&lt;51,F17=4,H17=20),K$26," ")))</f>
        <v>#REF!</v>
      </c>
      <c r="AX17" s="26" t="e">
        <f>IF(AND(#REF!&gt;0,[1]EvaluaciónRiesgoCorrupR3!$F$11&lt;51,F17=5,H17=5),$H$27,IF(AND(#REF!&gt;0,[1]EvaluaciónRiesgoCorrupR3!$F$11&lt;51,F17=5,H17=10),$J$27,IF(AND(#REF!&gt;0,[1]EvaluaciónRiesgoCorrupR3!$F$11&lt;51,F17=5,H17=20),K$27," ")))</f>
        <v>#REF!</v>
      </c>
      <c r="BA17" s="27" t="s">
        <v>30</v>
      </c>
      <c r="BB17" s="26" t="e">
        <f>IF(AND(#REF!&gt;0,[1]EvaluaciónRiesgoCorrupR3!$F$11&gt;75,F17=1,H17=5),$H$23,IF(AND(#REF!&gt;0,[1]EvaluaciónRiesgoCorrupR3!$F$11&gt;75,F17=1,H17=10),$H$23,IF(AND(#REF!&gt;0,[1]EvaluaciónRiesgoCorrupR3!$F$11&gt;75,F17=1,H17=20),$H$23," ")))</f>
        <v>#REF!</v>
      </c>
      <c r="BC17" s="26" t="e">
        <f>IF(AND(#REF!&gt;0,[1]EvaluaciónRiesgoCorrupR3!$F$11&gt;75,F17=2,H17=5),$H$24,IF(AND(#REF!&gt;0,[1]EvaluaciónRiesgoCorrupR3!$F$11&gt;75,F17=2,H17=10),$H$24,IF(AND(#REF!&gt;0,[1]EvaluaciónRiesgoCorrupR3!$F$11&gt;75,F17=2,H17=20),$H$24," ")))</f>
        <v>#REF!</v>
      </c>
      <c r="BD17" s="26" t="e">
        <f>IF(AND(#REF!&gt;0,[1]EvaluaciónRiesgoCorrupR3!$F$11&gt;75,F17=3,H17=5),$H$25,IF(AND(#REF!&gt;0,[1]EvaluaciónRiesgoCorrupR3!$F$11&gt;75,F17=3,H17=10),$H$25,IF(AND(#REF!&gt;0,[1]EvaluaciónRiesgoCorrupR3!$F$11&gt;75,F17=3,H17=20),$H$25," ")))</f>
        <v>#REF!</v>
      </c>
      <c r="BE17" s="26" t="e">
        <f>IF(AND(#REF!&gt;0,[1]EvaluaciónRiesgoCorrupR3!$F$11&gt;75,F17=4,H17=5),$H$26,IF(AND(#REF!&gt;0,[1]EvaluaciónRiesgoCorrupR3!$F$11&gt;75,F17=4,H17=10),$H$26,IF(AND(#REF!&gt;0,[1]EvaluaciónRiesgoCorrupR3!$F$11&gt;75,F17=4,H17=20),$H$26," ")))</f>
        <v>#REF!</v>
      </c>
      <c r="BF17" s="26" t="e">
        <f>IF(AND(#REF!&gt;0,[1]EvaluaciónRiesgoCorrupR3!$F$11&gt;75,F17=5,H17=5),$H$27,IF(AND(#REF!&gt;0,[1]EvaluaciónRiesgoCorrupR3!$F$11&gt;75,F17=5,H17=10),$H$27,IF(AND(#REF!&gt;0,[1]EvaluaciónRiesgoCorrupR3!$F$11&gt;75,F17=5,H17=20),$H$27," ")))</f>
        <v>#REF!</v>
      </c>
      <c r="BH17" s="27" t="s">
        <v>31</v>
      </c>
      <c r="BI17" s="26" t="e">
        <f>IF(AND(#REF!&gt;0,[1]EvaluaciónRiesgoCorrupR3!$F$11&gt;50,[1]EvaluaciónRiesgoCorrupR3!$F$11&lt;76,F17=1,H17=5),$H$23,IF(AND(#REF!&gt;0,[1]EvaluaciónRiesgoCorrupR3!$F$11&gt;50,[1]EvaluaciónRiesgoCorrupR3!$F$11&lt;76,F17=1,H17=10),$H$23,IF(AND(#REF!&gt;0,[1]EvaluaciónRiesgoCorrupR3!$F$11&gt;50,[1]EvaluaciónRiesgoCorrupR3!$F$11&lt;76,F17=1,H17=20),$J$23," ")))</f>
        <v>#REF!</v>
      </c>
      <c r="BJ17" s="26" t="e">
        <f>IF(AND(#REF!&gt;0,[1]EvaluaciónRiesgoCorrupR3!$F$11&gt;50,[1]EvaluaciónRiesgoCorrupR3!$F$11&lt;76,F17=2,H17=5),$H$24,IF(AND(#REF!&gt;0,[1]EvaluaciónRiesgoCorrupR3!$F$11&gt;50,[1]EvaluaciónRiesgoCorrupR3!$F$11&lt;76,F17=2,H17=10),$H$24,IF(AND(#REF!&gt;0,[1]EvaluaciónRiesgoCorrupR3!$F$11&gt;50,[1]EvaluaciónRiesgoCorrupR3!$F$11&lt;76,F17=2,H17=20),$J$24," ")))</f>
        <v>#REF!</v>
      </c>
      <c r="BK17" s="26" t="e">
        <f>IF(AND(#REF!&gt;0,[1]EvaluaciónRiesgoCorrupR3!$F$11&gt;50,[1]EvaluaciónRiesgoCorrupR3!$F$11&lt;76,F17=3,H17=5),$H$25,IF(AND(#REF!&gt;0,[1]EvaluaciónRiesgoCorrupR3!$F$11&gt;50,[1]EvaluaciónRiesgoCorrupR3!$F$11&lt;76,F17=3,H17=10),$H$25,IF(AND(#REF!&gt;0,[1]EvaluaciónRiesgoCorrupR3!$F$11&gt;50,[1]EvaluaciónRiesgoCorrupR3!$F$11&lt;76,F17=3,H17=20),$J$25," ")))</f>
        <v>#REF!</v>
      </c>
      <c r="BL17" s="26" t="e">
        <f>IF(AND(#REF!&gt;0,[1]EvaluaciónRiesgoCorrupR3!$F$11&gt;50,[1]EvaluaciónRiesgoCorrupR3!$F$11&lt;76,F17=4,H17=5),$H$26,IF(AND(#REF!&gt;0,[1]EvaluaciónRiesgoCorrupR3!$F$11&gt;50,[1]EvaluaciónRiesgoCorrupR3!$F$11&lt;76,F17=4,H17=10),$H$26,IF(AND(#REF!&gt;0,[1]EvaluaciónRiesgoCorrupR3!$F$11&gt;50,[1]EvaluaciónRiesgoCorrupR3!$F$11&lt;76,F17=4,H17=20),$J$26," ")))</f>
        <v>#REF!</v>
      </c>
      <c r="BM17" s="26" t="e">
        <f>IF(AND(#REF!&gt;0,[1]EvaluaciónRiesgoCorrupR3!$F$11&gt;50,[1]EvaluaciónRiesgoCorrupR3!$F$11&lt;76,F17=5,H17=5),$H$27,IF(AND(#REF!&gt;0,[1]EvaluaciónRiesgoCorrupR3!$F$11&gt;50,[1]EvaluaciónRiesgoCorrupR3!$F$11&lt;76,F17=5,H17=10),$H$27,IF(AND(#REF!&gt;0,[1]EvaluaciónRiesgoCorrupR3!$F$11&gt;50,[1]EvaluaciónRiesgoCorrupR3!$F$11&lt;76,F17=5,H17=20),$J$27," ")))</f>
        <v>#REF!</v>
      </c>
      <c r="BO17" s="27" t="s">
        <v>32</v>
      </c>
      <c r="BP17" s="26" t="e">
        <f>IF(AND(#REF!&gt;0,[1]EvaluaciónRiesgoCorrupR3!$F$11&lt;51,F17=1,H17=5),$H$23,IF(AND(#REF!&gt;0,[1]EvaluaciónRiesgoCorrupR3!$F$11&lt;51,F17=1,H17=10),$J$23,IF(AND(#REF!&gt;0,[1]EvaluaciónRiesgoCorrupR3!$F$11&lt;51,F17=1,H17=20),$K$23," ")))</f>
        <v>#REF!</v>
      </c>
      <c r="BQ17" s="26" t="e">
        <f>IF(AND(#REF!&gt;0,[1]EvaluaciónRiesgoCorrupR3!$F$11&lt;51,F17=2,H17=5),$H$24,IF(AND(#REF!&gt;0,[1]EvaluaciónRiesgoCorrupR3!$F$11&lt;51,F17=2,H17=10),$J$24,IF(AND(#REF!&gt;0,[1]EvaluaciónRiesgoCorrupR3!$F$11&lt;51,F17=2,H17=20),$K$24," ")))</f>
        <v>#REF!</v>
      </c>
      <c r="BR17" s="26" t="e">
        <f>IF(AND(#REF!&gt;0,[1]EvaluaciónRiesgoCorrupR3!$F$11&lt;51,F17=3,H17=5),$H$25,IF(AND(#REF!&gt;0,[1]EvaluaciónRiesgoCorrupR3!$F$11&lt;51,F17=3,H17=10),$J$25,IF(AND(#REF!&gt;0,[1]EvaluaciónRiesgoCorrupR3!$F$11&lt;51,F17=3,H17=20),$K$25," ")))</f>
        <v>#REF!</v>
      </c>
      <c r="BS17" s="26" t="e">
        <f>IF(AND(#REF!&gt;0,[1]EvaluaciónRiesgoCorrupR3!$F$11&lt;51,F17=4,H17=5),$H$26,IF(AND(#REF!&gt;0,[1]EvaluaciónRiesgoCorrupR3!$F$11&lt;51,F17=4,H17=10),$J$26,IF(AND(#REF!&gt;0,[1]EvaluaciónRiesgoCorrupR3!$F$11&lt;51,F17=4,H17=20),$K$26," ")))</f>
        <v>#REF!</v>
      </c>
      <c r="BT17" s="26" t="e">
        <f>IF(AND(#REF!&gt;0,[1]EvaluaciónRiesgoCorrupR3!$F$11&lt;51,F17=5,H17=5),$H$27,IF(AND(#REF!&gt;0,[1]EvaluaciónRiesgoCorrupR3!$F$11&lt;51,F17=5,H17=10),$J$27,IF(AND(#REF!&gt;0,[1]EvaluaciónRiesgoCorrupR3!$F$11&lt;51,F17=5,H17=20),$K$27," ")))</f>
        <v>#REF!</v>
      </c>
    </row>
    <row r="18" spans="1:72" ht="21.75" customHeight="1" x14ac:dyDescent="0.25">
      <c r="A18" s="53"/>
      <c r="B18" s="22"/>
      <c r="C18" s="124"/>
      <c r="D18" s="22"/>
      <c r="E18" s="78"/>
    </row>
    <row r="19" spans="1:72" x14ac:dyDescent="0.25">
      <c r="A19" s="26"/>
      <c r="B19" s="28"/>
      <c r="C19" s="126"/>
      <c r="D19" s="28"/>
      <c r="E19" s="139"/>
    </row>
    <row r="20" spans="1:72" ht="15" thickBot="1" x14ac:dyDescent="0.3">
      <c r="A20" s="26"/>
      <c r="B20" s="28"/>
      <c r="C20" s="126"/>
      <c r="D20" s="28"/>
      <c r="E20" s="139"/>
      <c r="H20" s="30"/>
      <c r="I20" s="140"/>
      <c r="J20" s="30"/>
    </row>
    <row r="21" spans="1:72" ht="15.75" thickBot="1" x14ac:dyDescent="0.3">
      <c r="A21" s="6"/>
      <c r="B21" s="31"/>
      <c r="C21" s="139"/>
      <c r="D21" s="31"/>
      <c r="E21" s="139"/>
      <c r="F21" s="544" t="s">
        <v>25</v>
      </c>
      <c r="G21" s="77"/>
      <c r="H21" s="546" t="s">
        <v>9</v>
      </c>
      <c r="I21" s="546"/>
      <c r="J21" s="546"/>
      <c r="K21" s="547"/>
      <c r="L21" s="82"/>
      <c r="M21" s="82"/>
      <c r="N21" s="82"/>
      <c r="O21" s="82"/>
      <c r="R21" s="5"/>
      <c r="T21" s="2"/>
    </row>
    <row r="22" spans="1:72" ht="32.25" customHeight="1" thickBot="1" x14ac:dyDescent="0.3">
      <c r="A22" s="5"/>
      <c r="B22" s="32" t="s">
        <v>33</v>
      </c>
      <c r="C22" s="127"/>
      <c r="D22" s="32"/>
      <c r="E22" s="127"/>
      <c r="F22" s="545"/>
      <c r="G22" s="270"/>
      <c r="H22" s="33" t="s">
        <v>34</v>
      </c>
      <c r="I22" s="128"/>
      <c r="J22" s="34" t="s">
        <v>35</v>
      </c>
      <c r="K22" s="33" t="s">
        <v>36</v>
      </c>
      <c r="L22" s="83"/>
      <c r="M22" s="83"/>
      <c r="N22" s="83"/>
      <c r="O22" s="83"/>
      <c r="R22" s="5"/>
      <c r="T22" s="2"/>
    </row>
    <row r="23" spans="1:72" ht="15.75" thickBot="1" x14ac:dyDescent="0.3">
      <c r="B23" s="5" t="s">
        <v>37</v>
      </c>
      <c r="C23" s="118"/>
      <c r="F23" s="35" t="s">
        <v>38</v>
      </c>
      <c r="G23" s="129"/>
      <c r="H23" s="36" t="s">
        <v>39</v>
      </c>
      <c r="I23" s="130"/>
      <c r="J23" s="36" t="s">
        <v>39</v>
      </c>
      <c r="K23" s="37" t="s">
        <v>40</v>
      </c>
      <c r="L23" s="84"/>
      <c r="M23" s="84"/>
      <c r="N23" s="84"/>
      <c r="O23" s="84"/>
      <c r="R23" s="5"/>
      <c r="T23" s="2"/>
    </row>
    <row r="24" spans="1:72" ht="15.75" thickBot="1" x14ac:dyDescent="0.3">
      <c r="F24" s="35" t="s">
        <v>41</v>
      </c>
      <c r="G24" s="129"/>
      <c r="H24" s="36" t="s">
        <v>39</v>
      </c>
      <c r="I24" s="130"/>
      <c r="J24" s="37" t="s">
        <v>40</v>
      </c>
      <c r="K24" s="38" t="s">
        <v>42</v>
      </c>
      <c r="L24" s="85"/>
      <c r="M24" s="85"/>
      <c r="N24" s="85"/>
      <c r="O24" s="85"/>
      <c r="R24" s="5"/>
      <c r="T24" s="2"/>
    </row>
    <row r="25" spans="1:72" ht="15.75" thickBot="1" x14ac:dyDescent="0.3">
      <c r="F25" s="35" t="s">
        <v>43</v>
      </c>
      <c r="G25" s="129"/>
      <c r="H25" s="37" t="s">
        <v>40</v>
      </c>
      <c r="I25" s="131"/>
      <c r="J25" s="38" t="s">
        <v>42</v>
      </c>
      <c r="K25" s="39" t="s">
        <v>44</v>
      </c>
      <c r="L25" s="86"/>
      <c r="M25" s="86"/>
      <c r="N25" s="86"/>
      <c r="O25" s="86"/>
      <c r="R25" s="5"/>
      <c r="T25" s="2"/>
    </row>
    <row r="26" spans="1:72" ht="15.75" thickBot="1" x14ac:dyDescent="0.3">
      <c r="F26" s="35" t="s">
        <v>45</v>
      </c>
      <c r="G26" s="129"/>
      <c r="H26" s="37" t="s">
        <v>40</v>
      </c>
      <c r="I26" s="131"/>
      <c r="J26" s="38" t="s">
        <v>42</v>
      </c>
      <c r="K26" s="39" t="s">
        <v>44</v>
      </c>
      <c r="L26" s="86"/>
      <c r="M26" s="86"/>
      <c r="N26" s="86"/>
      <c r="O26" s="86"/>
      <c r="R26" s="5"/>
      <c r="T26" s="2"/>
    </row>
    <row r="27" spans="1:72" ht="15.75" thickBot="1" x14ac:dyDescent="0.3">
      <c r="F27" s="35" t="s">
        <v>46</v>
      </c>
      <c r="G27" s="129"/>
      <c r="H27" s="37" t="s">
        <v>40</v>
      </c>
      <c r="I27" s="131"/>
      <c r="J27" s="38" t="s">
        <v>42</v>
      </c>
      <c r="K27" s="39" t="s">
        <v>44</v>
      </c>
      <c r="L27" s="86"/>
      <c r="M27" s="86"/>
      <c r="N27" s="86"/>
      <c r="O27" s="86"/>
      <c r="R27" s="5"/>
      <c r="T27" s="2"/>
    </row>
    <row r="28" spans="1:72" x14ac:dyDescent="0.25">
      <c r="F28" s="2"/>
      <c r="G28" s="115"/>
      <c r="H28" s="2"/>
      <c r="I28" s="115"/>
      <c r="J28" s="2"/>
      <c r="K28" s="5"/>
      <c r="L28" s="118"/>
      <c r="M28" s="118"/>
      <c r="N28" s="118"/>
      <c r="O28" s="118"/>
    </row>
    <row r="29" spans="1:72" ht="15" x14ac:dyDescent="0.25">
      <c r="F29" s="40" t="s">
        <v>47</v>
      </c>
      <c r="G29" s="132"/>
      <c r="H29" s="2"/>
      <c r="I29" s="115"/>
      <c r="J29" s="2"/>
      <c r="K29" s="5"/>
      <c r="L29" s="118"/>
      <c r="M29" s="118"/>
      <c r="N29" s="118"/>
      <c r="O29" s="118"/>
      <c r="P29" s="118"/>
      <c r="Q29" s="5"/>
    </row>
    <row r="30" spans="1:72" ht="15" x14ac:dyDescent="0.25">
      <c r="F30" s="41" t="s">
        <v>48</v>
      </c>
      <c r="G30" s="133"/>
      <c r="H30" s="2"/>
      <c r="I30" s="115"/>
      <c r="J30" s="2"/>
      <c r="K30" s="5"/>
      <c r="L30" s="118"/>
      <c r="M30" s="118"/>
      <c r="N30" s="118"/>
      <c r="O30" s="118"/>
      <c r="P30" s="118"/>
      <c r="Q30" s="5"/>
    </row>
    <row r="31" spans="1:72" ht="15" x14ac:dyDescent="0.25">
      <c r="F31" s="42" t="s">
        <v>49</v>
      </c>
      <c r="G31" s="134"/>
      <c r="H31" s="2"/>
      <c r="I31" s="115"/>
      <c r="J31" s="2"/>
      <c r="K31" s="5"/>
      <c r="L31" s="118"/>
      <c r="M31" s="118"/>
      <c r="N31" s="118"/>
      <c r="O31" s="118"/>
      <c r="P31" s="118"/>
      <c r="Q31" s="5"/>
    </row>
    <row r="32" spans="1:72" ht="15" x14ac:dyDescent="0.25">
      <c r="F32" s="43" t="s">
        <v>50</v>
      </c>
      <c r="G32" s="135"/>
      <c r="H32" s="2"/>
      <c r="I32" s="115"/>
      <c r="J32" s="2"/>
      <c r="K32" s="5"/>
      <c r="L32" s="118"/>
      <c r="M32" s="118"/>
      <c r="N32" s="118"/>
      <c r="O32" s="118"/>
      <c r="P32" s="118"/>
      <c r="Q32" s="5"/>
    </row>
  </sheetData>
  <mergeCells count="33">
    <mergeCell ref="A1:D4"/>
    <mergeCell ref="F1:U4"/>
    <mergeCell ref="V1:W1"/>
    <mergeCell ref="V2:W2"/>
    <mergeCell ref="V3:W3"/>
    <mergeCell ref="V4:W4"/>
    <mergeCell ref="A6:D6"/>
    <mergeCell ref="F6:W6"/>
    <mergeCell ref="A8:D8"/>
    <mergeCell ref="F8:W8"/>
    <mergeCell ref="A10:D10"/>
    <mergeCell ref="F10:W10"/>
    <mergeCell ref="A12:D12"/>
    <mergeCell ref="F12:W12"/>
    <mergeCell ref="AI13:BA13"/>
    <mergeCell ref="BC13:BV13"/>
    <mergeCell ref="A14:D14"/>
    <mergeCell ref="F14:H14"/>
    <mergeCell ref="K14:K16"/>
    <mergeCell ref="Q14:S14"/>
    <mergeCell ref="T14:W14"/>
    <mergeCell ref="A15:A16"/>
    <mergeCell ref="B15:B16"/>
    <mergeCell ref="D15:D16"/>
    <mergeCell ref="F15:H15"/>
    <mergeCell ref="T15:T16"/>
    <mergeCell ref="U15:U16"/>
    <mergeCell ref="V15:V16"/>
    <mergeCell ref="W15:W16"/>
    <mergeCell ref="F21:F22"/>
    <mergeCell ref="H21:K21"/>
    <mergeCell ref="Q15:S15"/>
    <mergeCell ref="M17:N17"/>
  </mergeCells>
  <conditionalFormatting sqref="J17 P17">
    <cfRule type="containsText" dxfId="119" priority="9" operator="containsText" text="E">
      <formula>NOT(ISERROR(SEARCH("E",J17)))</formula>
    </cfRule>
    <cfRule type="containsText" dxfId="118" priority="10" operator="containsText" text="M">
      <formula>NOT(ISERROR(SEARCH("M",J17)))</formula>
    </cfRule>
    <cfRule type="containsText" dxfId="117" priority="11" operator="containsText" text="A">
      <formula>NOT(ISERROR(SEARCH("A",J17)))</formula>
    </cfRule>
    <cfRule type="containsText" dxfId="116" priority="12" operator="containsText" text="B">
      <formula>NOT(ISERROR(SEARCH("B",J17)))</formula>
    </cfRule>
  </conditionalFormatting>
  <dataValidations disablePrompts="1" count="2">
    <dataValidation type="list" allowBlank="1" showInputMessage="1" showErrorMessage="1" sqref="Q18:R18">
      <formula1>$J$29:$J$32</formula1>
    </dataValidation>
    <dataValidation type="list" allowBlank="1" showInputMessage="1" showErrorMessage="1" sqref="P18">
      <formula1>#REF!</formula1>
    </dataValidation>
  </dataValidations>
  <pageMargins left="0.7" right="0.7" top="0.75" bottom="0.75" header="0.3" footer="0.3"/>
  <pageSetup scale="1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2"/>
  <sheetViews>
    <sheetView showGridLines="0" view="pageBreakPreview" topLeftCell="V15" zoomScale="110" zoomScaleNormal="60" zoomScaleSheetLayoutView="110" workbookViewId="0">
      <selection activeCell="W17" sqref="W17"/>
    </sheetView>
  </sheetViews>
  <sheetFormatPr baseColWidth="10" defaultColWidth="11.42578125" defaultRowHeight="14.25" x14ac:dyDescent="0.25"/>
  <cols>
    <col min="1" max="1" width="41.28515625" style="2" customWidth="1"/>
    <col min="2" max="2" width="36.28515625" style="2" customWidth="1"/>
    <col min="3" max="3" width="35.42578125" style="2" customWidth="1"/>
    <col min="4" max="4" width="32.5703125" style="2" customWidth="1"/>
    <col min="5" max="5" width="28.5703125" style="2" customWidth="1"/>
    <col min="6" max="6" width="17.85546875" style="5" customWidth="1"/>
    <col min="7" max="7" width="27" style="5" customWidth="1"/>
    <col min="8" max="9" width="19" style="5" customWidth="1"/>
    <col min="10" max="10" width="20.28515625" style="5" customWidth="1"/>
    <col min="11" max="11" width="29.7109375" style="2" customWidth="1"/>
    <col min="12" max="12" width="17.7109375" style="5" customWidth="1"/>
    <col min="13" max="13" width="18.5703125" style="2" customWidth="1"/>
    <col min="14" max="15" width="21.7109375" style="2" customWidth="1"/>
    <col min="16" max="16" width="19.85546875" style="2" customWidth="1"/>
    <col min="17" max="17" width="35.5703125" style="2" customWidth="1"/>
    <col min="18" max="18" width="17" style="2" customWidth="1"/>
    <col min="19" max="19" width="14.42578125" style="5" customWidth="1"/>
    <col min="20" max="20" width="192.140625" style="2" customWidth="1"/>
    <col min="21" max="21" width="41.7109375" style="2" customWidth="1"/>
    <col min="22" max="22" width="45.85546875" style="2" customWidth="1"/>
    <col min="23" max="23" width="197.140625" style="441" customWidth="1"/>
    <col min="24" max="24" width="30.42578125" style="2" customWidth="1"/>
    <col min="25" max="25" width="36" style="2" hidden="1" customWidth="1"/>
    <col min="26" max="26" width="0" style="2" hidden="1" customWidth="1"/>
    <col min="27" max="73" width="11.42578125" style="2" hidden="1" customWidth="1"/>
    <col min="74" max="74" width="11.42578125" style="2" customWidth="1"/>
    <col min="75" max="16384" width="11.42578125" style="2"/>
  </cols>
  <sheetData>
    <row r="1" spans="1:73" ht="21" customHeight="1" x14ac:dyDescent="0.25">
      <c r="A1" s="573"/>
      <c r="B1" s="573"/>
      <c r="C1" s="573"/>
      <c r="D1" s="573"/>
      <c r="E1" s="72"/>
      <c r="F1" s="574" t="s">
        <v>0</v>
      </c>
      <c r="G1" s="575"/>
      <c r="H1" s="575"/>
      <c r="I1" s="575"/>
      <c r="J1" s="575"/>
      <c r="K1" s="575"/>
      <c r="L1" s="575"/>
      <c r="M1" s="575"/>
      <c r="N1" s="575"/>
      <c r="O1" s="575"/>
      <c r="P1" s="575"/>
      <c r="Q1" s="575"/>
      <c r="R1" s="575"/>
      <c r="S1" s="575"/>
      <c r="T1" s="576"/>
      <c r="U1" s="583" t="s">
        <v>223</v>
      </c>
      <c r="V1" s="584"/>
      <c r="W1" s="450"/>
      <c r="X1" s="1"/>
      <c r="Y1" s="1"/>
    </row>
    <row r="2" spans="1:73" ht="22.5" customHeight="1" x14ac:dyDescent="0.25">
      <c r="A2" s="573"/>
      <c r="B2" s="573"/>
      <c r="C2" s="573"/>
      <c r="D2" s="573"/>
      <c r="E2" s="73"/>
      <c r="F2" s="577"/>
      <c r="G2" s="578"/>
      <c r="H2" s="578"/>
      <c r="I2" s="578"/>
      <c r="J2" s="578"/>
      <c r="K2" s="578"/>
      <c r="L2" s="578"/>
      <c r="M2" s="578"/>
      <c r="N2" s="578"/>
      <c r="O2" s="578"/>
      <c r="P2" s="578"/>
      <c r="Q2" s="578"/>
      <c r="R2" s="578"/>
      <c r="S2" s="578"/>
      <c r="T2" s="579"/>
      <c r="U2" s="610" t="s">
        <v>149</v>
      </c>
      <c r="V2" s="610"/>
      <c r="W2" s="610"/>
      <c r="X2" s="610"/>
      <c r="Y2" s="1"/>
    </row>
    <row r="3" spans="1:73" ht="21" customHeight="1" x14ac:dyDescent="0.25">
      <c r="A3" s="573"/>
      <c r="B3" s="573"/>
      <c r="C3" s="573"/>
      <c r="D3" s="573"/>
      <c r="E3" s="73"/>
      <c r="F3" s="577"/>
      <c r="G3" s="578"/>
      <c r="H3" s="578"/>
      <c r="I3" s="578"/>
      <c r="J3" s="578"/>
      <c r="K3" s="578"/>
      <c r="L3" s="578"/>
      <c r="M3" s="578"/>
      <c r="N3" s="578"/>
      <c r="O3" s="578"/>
      <c r="P3" s="578"/>
      <c r="Q3" s="578"/>
      <c r="R3" s="578"/>
      <c r="S3" s="578"/>
      <c r="T3" s="579"/>
      <c r="U3" s="610" t="s">
        <v>150</v>
      </c>
      <c r="V3" s="610"/>
      <c r="W3" s="610"/>
      <c r="X3" s="610"/>
      <c r="Y3" s="1"/>
    </row>
    <row r="4" spans="1:73" ht="20.25" customHeight="1" x14ac:dyDescent="0.25">
      <c r="A4" s="573"/>
      <c r="B4" s="573"/>
      <c r="C4" s="573"/>
      <c r="D4" s="573"/>
      <c r="E4" s="74"/>
      <c r="F4" s="580"/>
      <c r="G4" s="581"/>
      <c r="H4" s="581"/>
      <c r="I4" s="581"/>
      <c r="J4" s="581"/>
      <c r="K4" s="581"/>
      <c r="L4" s="581"/>
      <c r="M4" s="581"/>
      <c r="N4" s="581"/>
      <c r="O4" s="581"/>
      <c r="P4" s="581"/>
      <c r="Q4" s="581"/>
      <c r="R4" s="581"/>
      <c r="S4" s="581"/>
      <c r="T4" s="582"/>
      <c r="U4" s="583" t="s">
        <v>1</v>
      </c>
      <c r="V4" s="584"/>
      <c r="W4" s="450"/>
      <c r="X4" s="1"/>
      <c r="Y4" s="1"/>
    </row>
    <row r="5" spans="1:73" ht="8.25" customHeight="1" x14ac:dyDescent="0.25">
      <c r="B5" s="3"/>
      <c r="C5" s="3"/>
      <c r="D5" s="3"/>
      <c r="E5" s="3"/>
      <c r="F5" s="4"/>
      <c r="G5" s="4"/>
      <c r="H5" s="4"/>
      <c r="I5" s="4"/>
      <c r="J5" s="4"/>
      <c r="K5" s="4"/>
      <c r="L5" s="4"/>
      <c r="M5" s="4"/>
      <c r="N5" s="4"/>
      <c r="O5" s="4"/>
      <c r="P5" s="4"/>
      <c r="Q5" s="4"/>
      <c r="X5" s="6"/>
      <c r="Y5" s="6"/>
    </row>
    <row r="6" spans="1:73" ht="15" x14ac:dyDescent="0.25">
      <c r="A6" s="553" t="s">
        <v>2</v>
      </c>
      <c r="B6" s="553"/>
      <c r="C6" s="553"/>
      <c r="D6" s="553"/>
      <c r="E6" s="75"/>
      <c r="F6" s="567" t="str">
        <f>[13]IdentRiesgo!B2</f>
        <v>Gestión Financiera - Presupuesto</v>
      </c>
      <c r="G6" s="568"/>
      <c r="H6" s="568"/>
      <c r="I6" s="568"/>
      <c r="J6" s="568"/>
      <c r="K6" s="568"/>
      <c r="L6" s="568"/>
      <c r="M6" s="568"/>
      <c r="N6" s="568"/>
      <c r="O6" s="568"/>
      <c r="P6" s="568"/>
      <c r="Q6" s="568"/>
      <c r="R6" s="568"/>
      <c r="S6" s="568"/>
      <c r="T6" s="568"/>
      <c r="U6" s="568"/>
      <c r="V6" s="569"/>
      <c r="W6" s="445"/>
      <c r="X6" s="6"/>
      <c r="Y6" s="6"/>
    </row>
    <row r="7" spans="1:73" ht="6.75" customHeight="1" x14ac:dyDescent="0.25">
      <c r="B7" s="3"/>
      <c r="C7" s="3"/>
      <c r="D7" s="3"/>
      <c r="E7" s="3"/>
      <c r="F7" s="7"/>
      <c r="G7" s="7"/>
      <c r="H7" s="7"/>
      <c r="I7" s="7"/>
      <c r="J7" s="7"/>
      <c r="K7" s="7"/>
      <c r="L7" s="7"/>
      <c r="M7" s="7"/>
      <c r="N7" s="7"/>
      <c r="O7" s="7"/>
      <c r="P7" s="7"/>
      <c r="Q7" s="7"/>
      <c r="R7" s="8"/>
      <c r="S7" s="8"/>
      <c r="T7" s="8"/>
      <c r="U7" s="8"/>
      <c r="V7" s="8"/>
      <c r="W7" s="444"/>
      <c r="X7" s="6"/>
      <c r="Y7" s="6"/>
    </row>
    <row r="8" spans="1:73" ht="39.75" customHeight="1" x14ac:dyDescent="0.25">
      <c r="A8" s="553" t="s">
        <v>3</v>
      </c>
      <c r="B8" s="553"/>
      <c r="C8" s="553"/>
      <c r="D8" s="553"/>
      <c r="E8" s="75"/>
      <c r="F8" s="570" t="str">
        <f>[13]IdentRiesgo!B3</f>
        <v>Asegurar la oportuna provisión de recursos financieros necesarios para el autosostenimiento y desempeño eficaz y eficiente de la gestión financiera de la entidad mediante el registro de la ejecución presupuestal, la presentación de estados financieros y el recaudo de los ingresos y el pago de los compromisos.</v>
      </c>
      <c r="G8" s="571"/>
      <c r="H8" s="571"/>
      <c r="I8" s="571"/>
      <c r="J8" s="571"/>
      <c r="K8" s="571"/>
      <c r="L8" s="571"/>
      <c r="M8" s="571"/>
      <c r="N8" s="571"/>
      <c r="O8" s="571"/>
      <c r="P8" s="571"/>
      <c r="Q8" s="571"/>
      <c r="R8" s="571"/>
      <c r="S8" s="571"/>
      <c r="T8" s="571"/>
      <c r="U8" s="571"/>
      <c r="V8" s="572"/>
      <c r="W8" s="451"/>
      <c r="X8" s="9"/>
      <c r="Y8" s="9"/>
    </row>
    <row r="9" spans="1:73" ht="6.75" customHeight="1" x14ac:dyDescent="0.25">
      <c r="B9" s="10"/>
      <c r="C9" s="10"/>
      <c r="D9" s="10"/>
      <c r="E9" s="10"/>
      <c r="F9" s="11"/>
      <c r="G9" s="11"/>
      <c r="H9" s="11"/>
      <c r="I9" s="11"/>
      <c r="J9" s="11"/>
      <c r="K9" s="11"/>
      <c r="L9" s="11"/>
      <c r="M9" s="11"/>
      <c r="N9" s="11"/>
      <c r="O9" s="11"/>
      <c r="P9" s="11"/>
      <c r="Q9" s="11"/>
      <c r="R9" s="8"/>
      <c r="S9" s="8"/>
      <c r="T9" s="8"/>
      <c r="U9" s="8"/>
      <c r="V9" s="8"/>
      <c r="W9" s="444"/>
      <c r="X9" s="6"/>
      <c r="Y9" s="6"/>
    </row>
    <row r="10" spans="1:73" ht="15.75" x14ac:dyDescent="0.25">
      <c r="A10" s="553" t="s">
        <v>4</v>
      </c>
      <c r="B10" s="553"/>
      <c r="C10" s="553"/>
      <c r="D10" s="553"/>
      <c r="E10" s="75"/>
      <c r="F10" s="593" t="s">
        <v>152</v>
      </c>
      <c r="G10" s="594"/>
      <c r="H10" s="594"/>
      <c r="I10" s="594"/>
      <c r="J10" s="594"/>
      <c r="K10" s="594"/>
      <c r="L10" s="594"/>
      <c r="M10" s="594"/>
      <c r="N10" s="594"/>
      <c r="O10" s="594"/>
      <c r="P10" s="594"/>
      <c r="Q10" s="594"/>
      <c r="R10" s="594"/>
      <c r="S10" s="594"/>
      <c r="T10" s="594"/>
      <c r="U10" s="594"/>
      <c r="V10" s="595"/>
      <c r="W10" s="490"/>
      <c r="X10" s="12"/>
      <c r="Y10" s="12"/>
    </row>
    <row r="11" spans="1:73" ht="5.25" customHeight="1" x14ac:dyDescent="0.25">
      <c r="B11" s="3"/>
      <c r="C11" s="3"/>
      <c r="D11" s="3"/>
      <c r="E11" s="3"/>
      <c r="F11" s="13"/>
      <c r="G11" s="13"/>
      <c r="H11" s="13"/>
      <c r="I11" s="13"/>
      <c r="J11" s="13"/>
      <c r="K11" s="13"/>
      <c r="L11" s="13"/>
      <c r="M11" s="13"/>
      <c r="N11" s="13"/>
      <c r="O11" s="13"/>
      <c r="P11" s="13"/>
      <c r="Q11" s="13"/>
      <c r="R11" s="8"/>
      <c r="S11" s="8"/>
      <c r="T11" s="8"/>
      <c r="U11" s="8"/>
      <c r="V11" s="8"/>
      <c r="W11" s="444"/>
      <c r="X11" s="6"/>
      <c r="Y11" s="6"/>
    </row>
    <row r="12" spans="1:73" ht="15.75" x14ac:dyDescent="0.25">
      <c r="A12" s="553" t="s">
        <v>5</v>
      </c>
      <c r="B12" s="553"/>
      <c r="C12" s="553"/>
      <c r="D12" s="553"/>
      <c r="E12" s="75"/>
      <c r="F12" s="585">
        <v>43220</v>
      </c>
      <c r="G12" s="586"/>
      <c r="H12" s="586"/>
      <c r="I12" s="586"/>
      <c r="J12" s="586"/>
      <c r="K12" s="586"/>
      <c r="L12" s="586"/>
      <c r="M12" s="586"/>
      <c r="N12" s="586"/>
      <c r="O12" s="586"/>
      <c r="P12" s="586"/>
      <c r="Q12" s="586"/>
      <c r="R12" s="586"/>
      <c r="S12" s="586"/>
      <c r="T12" s="586"/>
      <c r="U12" s="586"/>
      <c r="V12" s="587"/>
      <c r="W12" s="457"/>
      <c r="X12" s="12"/>
      <c r="Y12" s="12"/>
      <c r="AB12" s="2" t="s">
        <v>6</v>
      </c>
    </row>
    <row r="13" spans="1:73" ht="15.75" thickBot="1" x14ac:dyDescent="0.3">
      <c r="B13" s="3"/>
      <c r="C13" s="3"/>
      <c r="D13" s="3"/>
      <c r="E13" s="3"/>
      <c r="F13" s="14"/>
      <c r="G13" s="14"/>
      <c r="H13" s="15"/>
      <c r="I13" s="15"/>
      <c r="J13" s="15"/>
      <c r="K13" s="7"/>
      <c r="L13" s="15"/>
      <c r="M13" s="7"/>
      <c r="N13" s="7"/>
      <c r="O13" s="7"/>
      <c r="P13" s="7"/>
      <c r="Q13" s="7"/>
      <c r="R13" s="7"/>
      <c r="S13" s="15"/>
      <c r="T13" s="7"/>
      <c r="X13" s="6"/>
      <c r="Y13" s="6"/>
      <c r="AB13" s="2" t="s">
        <v>7</v>
      </c>
      <c r="AH13" s="557" t="s">
        <v>8</v>
      </c>
      <c r="AI13" s="557"/>
      <c r="AJ13" s="557"/>
      <c r="AK13" s="557"/>
      <c r="AL13" s="557"/>
      <c r="AM13" s="557"/>
      <c r="AN13" s="557"/>
      <c r="AO13" s="557"/>
      <c r="AP13" s="557"/>
      <c r="AQ13" s="557"/>
      <c r="AR13" s="557"/>
      <c r="AS13" s="557"/>
      <c r="AT13" s="557"/>
      <c r="AU13" s="557"/>
      <c r="AV13" s="557"/>
      <c r="AW13" s="557"/>
      <c r="AX13" s="557"/>
      <c r="AY13" s="557"/>
      <c r="AZ13" s="557"/>
      <c r="BB13" s="557" t="s">
        <v>9</v>
      </c>
      <c r="BC13" s="557"/>
      <c r="BD13" s="557"/>
      <c r="BE13" s="557"/>
      <c r="BF13" s="557"/>
      <c r="BG13" s="557"/>
      <c r="BH13" s="557"/>
      <c r="BI13" s="557"/>
      <c r="BJ13" s="557"/>
      <c r="BK13" s="557"/>
      <c r="BL13" s="557"/>
      <c r="BM13" s="557"/>
      <c r="BN13" s="557"/>
      <c r="BO13" s="557"/>
      <c r="BP13" s="557"/>
      <c r="BQ13" s="557"/>
      <c r="BR13" s="557"/>
      <c r="BS13" s="557"/>
      <c r="BT13" s="557"/>
      <c r="BU13" s="557"/>
    </row>
    <row r="14" spans="1:73" s="17" customFormat="1" ht="15" customHeight="1" x14ac:dyDescent="0.25">
      <c r="A14" s="558" t="s">
        <v>10</v>
      </c>
      <c r="B14" s="559"/>
      <c r="C14" s="559"/>
      <c r="D14" s="560"/>
      <c r="E14" s="76"/>
      <c r="F14" s="561" t="s">
        <v>11</v>
      </c>
      <c r="G14" s="561"/>
      <c r="H14" s="561"/>
      <c r="I14" s="16"/>
      <c r="J14" s="16"/>
      <c r="K14" s="562" t="s">
        <v>12</v>
      </c>
      <c r="L14" s="558" t="s">
        <v>13</v>
      </c>
      <c r="M14" s="559"/>
      <c r="N14" s="560"/>
      <c r="O14" s="90"/>
      <c r="P14" s="565" t="s">
        <v>14</v>
      </c>
      <c r="Q14" s="565"/>
      <c r="R14" s="565"/>
      <c r="S14" s="565" t="s">
        <v>15</v>
      </c>
      <c r="T14" s="565"/>
      <c r="U14" s="565"/>
      <c r="V14" s="561"/>
      <c r="W14" s="452"/>
    </row>
    <row r="15" spans="1:73" s="17" customFormat="1" ht="14.25" customHeight="1" x14ac:dyDescent="0.25">
      <c r="A15" s="563" t="s">
        <v>16</v>
      </c>
      <c r="B15" s="563" t="s">
        <v>17</v>
      </c>
      <c r="C15" s="91"/>
      <c r="D15" s="563" t="s">
        <v>18</v>
      </c>
      <c r="E15" s="91"/>
      <c r="F15" s="543" t="s">
        <v>19</v>
      </c>
      <c r="G15" s="543"/>
      <c r="H15" s="543"/>
      <c r="I15" s="87"/>
      <c r="J15" s="18"/>
      <c r="K15" s="563"/>
      <c r="L15" s="548" t="s">
        <v>20</v>
      </c>
      <c r="M15" s="549"/>
      <c r="N15" s="550"/>
      <c r="O15" s="89"/>
      <c r="P15" s="548" t="s">
        <v>21</v>
      </c>
      <c r="Q15" s="549"/>
      <c r="R15" s="550"/>
      <c r="S15" s="543" t="s">
        <v>22</v>
      </c>
      <c r="T15" s="543" t="s">
        <v>23</v>
      </c>
      <c r="U15" s="543" t="s">
        <v>4</v>
      </c>
      <c r="V15" s="543" t="s">
        <v>24</v>
      </c>
      <c r="W15" s="471"/>
    </row>
    <row r="16" spans="1:73" s="17" customFormat="1" ht="63" customHeight="1" x14ac:dyDescent="0.25">
      <c r="A16" s="566"/>
      <c r="B16" s="566"/>
      <c r="C16" s="92" t="s">
        <v>70</v>
      </c>
      <c r="D16" s="566"/>
      <c r="E16" s="92" t="s">
        <v>71</v>
      </c>
      <c r="F16" s="18" t="s">
        <v>25</v>
      </c>
      <c r="G16" s="87" t="s">
        <v>70</v>
      </c>
      <c r="H16" s="18" t="s">
        <v>9</v>
      </c>
      <c r="I16" s="87" t="s">
        <v>70</v>
      </c>
      <c r="J16" s="18" t="s">
        <v>26</v>
      </c>
      <c r="K16" s="564"/>
      <c r="L16" s="18" t="s">
        <v>25</v>
      </c>
      <c r="M16" s="18" t="s">
        <v>9</v>
      </c>
      <c r="N16" s="20" t="s">
        <v>26</v>
      </c>
      <c r="O16" s="92" t="s">
        <v>74</v>
      </c>
      <c r="P16" s="18" t="s">
        <v>27</v>
      </c>
      <c r="Q16" s="18" t="s">
        <v>23</v>
      </c>
      <c r="R16" s="18" t="s">
        <v>28</v>
      </c>
      <c r="S16" s="543"/>
      <c r="T16" s="543"/>
      <c r="U16" s="543"/>
      <c r="V16" s="543"/>
      <c r="W16" s="471" t="s">
        <v>257</v>
      </c>
    </row>
    <row r="17" spans="1:71" ht="409.5" customHeight="1" x14ac:dyDescent="0.25">
      <c r="A17" s="300" t="str">
        <f>IF(ISTEXT([14]IdentificaciónRiesgos!$B8),[14]IdentificaciónRiesgos!$A8,"")</f>
        <v>1. Desconocimiento de principios básicos en la ejecución del presupuesto. 
2. Falta de valores éticos y morales en los servidores públicos que toman decisiones frente al manejo presupuestal.
3. Informacion inconsistente al solicitar los Certificados de Disponibilidad.</v>
      </c>
      <c r="B17" s="300" t="str">
        <f>IF(ISTEXT([14]IdentificaciónRiesgos!$B8),[14]IdentificaciónRiesgos!$B8,"")</f>
        <v>Beneficio a terceros en la expedicion de Certificados Presupuestales y Registros Presupuestales.</v>
      </c>
      <c r="C17" s="300" t="str">
        <f>IF(ISTEXT([14]IdentificaciónRiesgos!$B8),[14]IdentificaciónRiesgos!$C8,"")</f>
        <v>Expedir Certificados de Disponibilidad Presupuestal y/o Registros Presupuestales amparando la contratación del Instituto  sin el lleno de los requisitos legales, en beneficio propio o a cambio de una retribución económica.</v>
      </c>
      <c r="D17" s="300" t="str">
        <f>IF(ISTEXT([14]IdentificaciónRiesgos!$B8),[14]IdentificaciónRiesgos!$D8,"")</f>
        <v>1. Inconsistencias en la informacion suministrada por el Grupo de presupuesto a los diferentes entes de control.
2. Sanciones disciplinarias por parte de los entes de control.
3. Detrimento patrimonial.</v>
      </c>
      <c r="E17" s="302" t="str">
        <f>IF(ISTEXT([14]IdentificaciónRiesgos!$B8),VLOOKUP($C17,[14]DefiniciónRiesgos!$A$4:$F$9,6,FALSE),"")</f>
        <v>RIESGO DE CORRUPCIÓN</v>
      </c>
      <c r="F17" s="303">
        <f>IF(ISTEXT([14]IdentificaciónRiesgos!$B8),IF(EXACT([14]AnálisisRiesgos!$B11,"X"),5,IF(EXACT([14]AnálisisRiesgos!$C11,"X"),4,IF(EXACT([14]AnálisisRiesgos!$D11,"X"),3,IF(EXACT([14]AnálisisRiesgos!$E11,"X"),2,IF(EXACT([14]AnálisisRiesgos!$F11,"X"),1,""))))),"")</f>
        <v>1</v>
      </c>
      <c r="G17" s="303" t="str">
        <f>IF(EXACT($F17,5),"Casí Seguro",IF(EXACT($F17,4),"Probable",IF(EXACT($F17,3),"Posible",IF(EXACT($F17,2),"Improbable","Rara Vez"))))</f>
        <v>Rara Vez</v>
      </c>
      <c r="H17" s="304">
        <f>IF(EXACT($B17,""),"",IF(EXACT($E17,"RIESGO DE GESTIÓN"),IF(EXACT([14]AnálisisRiesgos!$G11,"X"),5,IF(EXACT([14]AnálisisRiesgos!$H11,"X"),4,IF(EXACT([14]AnálisisRiesgos!$I11,"X"),3,IF(EXACT([14]AnálisisRiesgos!$J11,"X"),2,1)))),IF(EXACT([14]AnálisisRiesgos!$L11,"X"),20,IF(EXACT([14]AnálisisRiesgos!$M11,"X"),10,5))))</f>
        <v>20</v>
      </c>
      <c r="I17" s="304" t="str">
        <f>IF(EXACT($E17,"RIESGO DE GESTIÓN"),IF(EXACT($H17,1),"Insignificante",IF(EXACT($H17,2),"Menor",IF(EXACT($H17,3),"Moderado",IF(EXACT($H17,4),"Mayor","Catastrófico")))),IF(EXACT($H17,5),"Moderado",IF(EXACT($H17,10),"Mayor","Catastrófico")))</f>
        <v>Catastrófico</v>
      </c>
      <c r="J17" s="305" t="s">
        <v>40</v>
      </c>
      <c r="K17" s="323" t="s">
        <v>57</v>
      </c>
      <c r="L17" s="599" t="s">
        <v>9</v>
      </c>
      <c r="M17" s="600"/>
      <c r="N17" s="305" t="s">
        <v>69</v>
      </c>
      <c r="O17" s="322" t="s">
        <v>89</v>
      </c>
      <c r="P17" s="308" t="s">
        <v>58</v>
      </c>
      <c r="Q17" s="308" t="s">
        <v>90</v>
      </c>
      <c r="R17" s="308" t="s">
        <v>59</v>
      </c>
      <c r="S17" s="487">
        <v>43434</v>
      </c>
      <c r="T17" s="488" t="s">
        <v>295</v>
      </c>
      <c r="U17" s="391" t="s">
        <v>211</v>
      </c>
      <c r="V17" s="427" t="s">
        <v>212</v>
      </c>
      <c r="W17" s="488" t="s">
        <v>296</v>
      </c>
      <c r="Y17" s="26" t="str">
        <f>IF(AND(F17=1,H17=5),$H$23,IF(AND(F17=1,H17=10),$J$23,IF(AND(F17=1,H17=20),$K$23," ")))</f>
        <v>M</v>
      </c>
      <c r="Z17" s="26" t="str">
        <f>IF(AND(F17=2,H17=5),$H$24,IF(AND(F17=2,H17=10),$J$24,IF(AND(F17=2,H17=20),$K$24," ")))</f>
        <v xml:space="preserve"> </v>
      </c>
      <c r="AA17" s="26" t="str">
        <f>IF(AND(F17=3,H17=5),$H$25,IF(AND(F17=3,H17=10),$J$25,IF(AND(F17=3,H17=20),$K$25," ")))</f>
        <v xml:space="preserve"> </v>
      </c>
      <c r="AB17" s="26" t="str">
        <f>IF(AND(F17=4,H17=5),$H$26,IF(AND(F17=4,H17=10),$J$26,IF(AND(F17=4,H17=20),$K$26," ")))</f>
        <v xml:space="preserve"> </v>
      </c>
      <c r="AC17" s="26" t="str">
        <f>IF(AND(F17=5,H17=5),$H$27,IF(AND(F17=5,H17=10),$J$27,IF(AND(F17=5,H17=20),$K$27," ")))</f>
        <v xml:space="preserve"> </v>
      </c>
      <c r="AF17" s="26" t="str">
        <f>IF(AND(L17&gt;0,[13]EvaluaciónRiesgoCorrup!$F$11&gt;75,F17=1,H17=5),$H$23,IF(AND(L17&gt;0,[13]EvaluaciónRiesgoCorrup!$F$11&gt;75,F17=1,H17=10),$J$23,IF(AND(L17&gt;0,[13]EvaluaciónRiesgoCorrup!$F$11&gt;75,F17=1,H17=20),$K$23," ")))</f>
        <v>M</v>
      </c>
      <c r="AG17" s="26" t="str">
        <f>IF(AND(L17&gt;0,[13]EvaluaciónRiesgoCorrup!$F$11&gt;75,F17=2,H17=5),$H$23,IF(AND(L17&gt;0,[13]EvaluaciónRiesgoCorrup!$F$11&gt;75,F17=2,H17=10),$J$23,IF(AND(L17&gt;0,[13]EvaluaciónRiesgoCorrup!$F$11&gt;75,F17=2,H17=20),$K$23," ")))</f>
        <v xml:space="preserve"> </v>
      </c>
      <c r="AH17" s="26" t="str">
        <f>IF(AND(L17&gt;0,[13]EvaluaciónRiesgoCorrup!$F$11&gt;75,F17=3,H17=5),$H$23,IF(AND(L17&gt;0,[13]EvaluaciónRiesgoCorrup!$F$11&gt;75,F17=3,H17=10),$J$23,IF(AND(L17&gt;0,[13]EvaluaciónRiesgoCorrup!$F$11&gt;75,F17=3,H17=20),$K$23," ")))</f>
        <v xml:space="preserve"> </v>
      </c>
      <c r="AI17" s="26" t="str">
        <f>IF(AND(L17&gt;0,[13]EvaluaciónRiesgoCorrup!$F$11&gt;75,F17=4,H17=5),$H$24,IF(AND(L17&gt;0,[13]EvaluaciónRiesgoCorrup!$F$11&gt;75,F17=4,H17=10),$J$24,IF(AND(L17&gt;0,[13]EvaluaciónRiesgoCorrup!$F$11&gt;75,F17=4,H17=20),$K$24," ")))</f>
        <v xml:space="preserve"> </v>
      </c>
      <c r="AJ17" s="26" t="str">
        <f>IF(AND(L17&gt;0,[13]EvaluaciónRiesgoCorrup!$F$11&gt;75,F17=5,H17=5),$H$25,IF(AND(L17&gt;0,[13]EvaluaciónRiesgoCorrup!$F$11&gt;75,F17=5,H17=10),$J$25,IF(AND(L17&gt;0,[13]EvaluaciónRiesgoCorrup!$F$11&gt;75,F17=5,H17=20),$K$25," ")))</f>
        <v xml:space="preserve"> </v>
      </c>
      <c r="AL17" s="26" t="str">
        <f>IF(AND(L17&gt;0,[13]EvaluaciónRiesgoCorrup!$F$11&gt;50,[13]EvaluaciónRiesgoCorrup!$F$11&lt;76,F17=1,H17=5),$H$23,IF(AND(L17&gt;0,[13]EvaluaciónRiesgoCorrup!$F$11&gt;50,[13]EvaluaciónRiesgoCorrup!$F$11&lt;76,F17=1,H17=10),$J$23,IF(AND(L17&gt;0,[13]EvaluaciónRiesgoCorrup!$F$11&gt;50,[13]EvaluaciónRiesgoCorrup!$F$11&lt;76,F17=1,H17=20),$K$23," ")))</f>
        <v xml:space="preserve"> </v>
      </c>
      <c r="AM17" s="26" t="str">
        <f>IF(AND(L17&gt;0,[13]EvaluaciónRiesgoCorrup!$F$11&gt;50,[13]EvaluaciónRiesgoCorrup!$F$11&lt;76,F17=2,H17=5),$H$23,IF(AND(L17&gt;0,[13]EvaluaciónRiesgoCorrup!$F$11&gt;50,[13]EvaluaciónRiesgoCorrup!$F$11&lt;76,F17=2,H17=10),$J$23,IF(AND(L17&gt;0,[13]EvaluaciónRiesgoCorrup!$F$11&gt;50,[13]EvaluaciónRiesgoCorrup!$F$11&lt;76,F17=2,H17=20),$K$23," ")))</f>
        <v xml:space="preserve"> </v>
      </c>
      <c r="AN17" s="26" t="str">
        <f>IF(AND(L17&gt;0,[13]EvaluaciónRiesgoCorrup!$F$11&gt;50,[13]EvaluaciónRiesgoCorrup!$F$11&lt;76,F17=3,H17=5),$H$24,IF(AND(L17&gt;0,[13]EvaluaciónRiesgoCorrup!$F$11&gt;50,[13]EvaluaciónRiesgoCorrup!$F$11&lt;76,F17=3,H17=10),$J$24,IF(AND(L17&gt;0,[13]EvaluaciónRiesgoCorrup!$F$11&gt;50,[13]EvaluaciónRiesgoCorrup!$F$11&lt;76,F17=3,H17=20),$K$24," ")))</f>
        <v xml:space="preserve"> </v>
      </c>
      <c r="AO17" s="26" t="str">
        <f>IF(AND(L17&gt;0,[13]EvaluaciónRiesgoCorrup!$F$11&gt;50,[13]EvaluaciónRiesgoCorrup!$F$11&lt;76,F17=4,H17=5),$H$25,IF(AND(L17&gt;0,[13]EvaluaciónRiesgoCorrup!$F$11&gt;50,[13]EvaluaciónRiesgoCorrup!$F$11&lt;76,F17=4,H17=10),$J$25,IF(AND(L17&gt;0,[13]EvaluaciónRiesgoCorrup!$F$11&gt;50,[13]EvaluaciónRiesgoCorrup!$F$11&lt;76,F17=4,H17=20),$K$25," ")))</f>
        <v xml:space="preserve"> </v>
      </c>
      <c r="AP17" s="26" t="str">
        <f>IF(AND(L17&gt;0,[13]EvaluaciónRiesgoCorrup!$F$11&gt;50,[13]EvaluaciónRiesgoCorrup!$F$11&lt;76,F17=5,H17=5),$H$26,IF(AND(L17&gt;0,[13]EvaluaciónRiesgoCorrup!$F$11&gt;50,[13]EvaluaciónRiesgoCorrup!$F$11&lt;76,F17=5,H17=10),$J$26,IF(AND(L17&gt;0,[13]EvaluaciónRiesgoCorrup!$F$11&gt;50,[13]EvaluaciónRiesgoCorrup!$F$11&lt;76,F17=5,H17=20),$K$26," ")))</f>
        <v xml:space="preserve"> </v>
      </c>
      <c r="AS17" s="26" t="str">
        <f>IF(AND(L17&gt;0,[13]EvaluaciónRiesgoCorrup!$F$11&lt;51,F17=1,H17=5),$H$23,IF(AND(L17&gt;0,[13]EvaluaciónRiesgoCorrup!$F$11&lt;51,F17=1,H17=10),$J$23,IF(AND(L17&gt;0,[13]EvaluaciónRiesgoCorrup!$F$11&lt;51,F17=1,H17=20),K$23," ")))</f>
        <v xml:space="preserve"> </v>
      </c>
      <c r="AT17" s="26" t="str">
        <f>IF(AND(L17&gt;0,[13]EvaluaciónRiesgoCorrup!$F$11&lt;51,F17=2,H17=5),$H$24,IF(AND(L17&gt;0,[13]EvaluaciónRiesgoCorrup!$F$11&lt;51,F17=2,H17=10),$J$24,IF(AND(L17&gt;0,[13]EvaluaciónRiesgoCorrup!$F$11&lt;51,F17=2,H17=20),K$24," ")))</f>
        <v xml:space="preserve"> </v>
      </c>
      <c r="AU17" s="26" t="str">
        <f>IF(AND(L17&gt;0,[13]EvaluaciónRiesgoCorrup!$F$11&lt;51,F17=3,H17=5),$H$25,IF(AND(L17&gt;0,[13]EvaluaciónRiesgoCorrup!$F$11&lt;51,F17=3,H17=10),$J$25,IF(AND(L17&gt;0,[13]EvaluaciónRiesgoCorrup!$F$11&lt;51,F17=3,H17=20),K$25," ")))</f>
        <v xml:space="preserve"> </v>
      </c>
      <c r="AV17" s="26" t="str">
        <f>IF(AND(L17&gt;0,[13]EvaluaciónRiesgoCorrup!$F$11&lt;51,F17=4,H17=5),$H$26,IF(AND(L17&gt;0,[13]EvaluaciónRiesgoCorrup!$F$11&lt;51,F17=4,H17=10),$J$26,IF(AND(L17&gt;0,[13]EvaluaciónRiesgoCorrup!$F$11&lt;51,F17=4,H17=20),K$26," ")))</f>
        <v xml:space="preserve"> </v>
      </c>
      <c r="AW17" s="26" t="str">
        <f>IF(AND(L17&gt;0,[13]EvaluaciónRiesgoCorrup!$F$11&lt;51,F17=5,H17=5),$H$27,IF(AND(L17&gt;0,[13]EvaluaciónRiesgoCorrup!$F$11&lt;51,F17=5,H17=10),$J$27,IF(AND(L17&gt;0,[13]EvaluaciónRiesgoCorrup!$F$11&lt;51,F17=5,H17=20),K$27," ")))</f>
        <v xml:space="preserve"> </v>
      </c>
      <c r="BA17" s="26" t="str">
        <f>IF(AND(M17&gt;0,[13]EvaluaciónRiesgoCorrup!$F$11&gt;75,F17=1,H17=5),$H$23,IF(AND(M17&gt;0,[13]EvaluaciónRiesgoCorrup!$F$11&gt;75,F17=1,H17=10),$H$23,IF(AND(M17&gt;0,[13]EvaluaciónRiesgoCorrup!$F$11&gt;75,F17=1,H17=20),$H$23," ")))</f>
        <v xml:space="preserve"> </v>
      </c>
      <c r="BB17" s="26" t="str">
        <f>IF(AND(M17&gt;0,[13]EvaluaciónRiesgoCorrup!$F$11&gt;75,F17=2,H17=5),$H$24,IF(AND(M17&gt;0,[13]EvaluaciónRiesgoCorrup!$F$11&gt;75,F17=2,H17=10),$H$24,IF(AND(M17&gt;0,[13]EvaluaciónRiesgoCorrup!$F$11&gt;75,F17=2,H17=20),$H$24," ")))</f>
        <v xml:space="preserve"> </v>
      </c>
      <c r="BC17" s="26" t="str">
        <f>IF(AND(M17&gt;0,[13]EvaluaciónRiesgoCorrup!$F$11&gt;75,F17=3,H17=5),$H$25,IF(AND(M17&gt;0,[13]EvaluaciónRiesgoCorrup!$F$11&gt;75,F17=3,H17=10),$H$25,IF(AND(M17&gt;0,[13]EvaluaciónRiesgoCorrup!$F$11&gt;75,F17=3,H17=20),$H$25," ")))</f>
        <v xml:space="preserve"> </v>
      </c>
      <c r="BD17" s="26" t="str">
        <f>IF(AND(M17&gt;0,[13]EvaluaciónRiesgoCorrup!$F$11&gt;75,F17=4,H17=5),$H$26,IF(AND(M17&gt;0,[13]EvaluaciónRiesgoCorrup!$F$11&gt;75,F17=4,H17=10),$H$26,IF(AND(M17&gt;0,[13]EvaluaciónRiesgoCorrup!$F$11&gt;75,F17=4,H17=20),$H$26," ")))</f>
        <v xml:space="preserve"> </v>
      </c>
      <c r="BE17" s="26" t="str">
        <f>IF(AND(M17&gt;0,[13]EvaluaciónRiesgoCorrup!$F$11&gt;75,F17=5,H17=5),$H$27,IF(AND(M17&gt;0,[13]EvaluaciónRiesgoCorrup!$F$11&gt;75,F17=5,H17=10),$H$27,IF(AND(M17&gt;0,[13]EvaluaciónRiesgoCorrup!$F$11&gt;75,F17=5,H17=20),$H$27," ")))</f>
        <v xml:space="preserve"> </v>
      </c>
      <c r="BH17" s="26" t="str">
        <f>IF(AND(M17&gt;0,[13]EvaluaciónRiesgoCorrup!$F$11&gt;50,[13]EvaluaciónRiesgoCorrup!$F$11&lt;76,F17=1,H17=5),$H$23,IF(AND(M17&gt;0,[13]EvaluaciónRiesgoCorrup!$F$11&gt;50,[13]EvaluaciónRiesgoCorrup!$F$11&lt;76,F17=1,H17=10),$H$23,IF(AND(M17&gt;0,[13]EvaluaciónRiesgoCorrup!$F$11&gt;50,[13]EvaluaciónRiesgoCorrup!$F$11&lt;76,F17=1,H17=20),$J$23," ")))</f>
        <v xml:space="preserve"> </v>
      </c>
      <c r="BI17" s="26" t="str">
        <f>IF(AND(M17&gt;0,[13]EvaluaciónRiesgoCorrup!$F$11&gt;50,[13]EvaluaciónRiesgoCorrup!$F$11&lt;76,F17=2,H17=5),$H$24,IF(AND(M17&gt;0,[13]EvaluaciónRiesgoCorrup!$F$11&gt;50,[13]EvaluaciónRiesgoCorrup!$F$11&lt;76,F17=2,H17=10),$H$24,IF(AND(M17&gt;0,[13]EvaluaciónRiesgoCorrup!$F$11&gt;50,[13]EvaluaciónRiesgoCorrup!$F$11&lt;76,F17=2,H17=20),$J$24," ")))</f>
        <v xml:space="preserve"> </v>
      </c>
      <c r="BJ17" s="26" t="str">
        <f>IF(AND(M17&gt;0,[13]EvaluaciónRiesgoCorrup!$F$11&gt;50,[13]EvaluaciónRiesgoCorrup!$F$11&lt;76,F17=3,H17=5),$H$25,IF(AND(M17&gt;0,[13]EvaluaciónRiesgoCorrup!$F$11&gt;50,[13]EvaluaciónRiesgoCorrup!$F$11&lt;76,F17=3,H17=10),$H$25,IF(AND(M17&gt;0,[13]EvaluaciónRiesgoCorrup!$F$11&gt;50,[13]EvaluaciónRiesgoCorrup!$F$11&lt;76,F17=3,H17=20),$J$25," ")))</f>
        <v xml:space="preserve"> </v>
      </c>
      <c r="BK17" s="26" t="str">
        <f>IF(AND(M17&gt;0,[13]EvaluaciónRiesgoCorrup!$F$11&gt;50,[13]EvaluaciónRiesgoCorrup!$F$11&lt;76,F17=4,H17=5),$H$26,IF(AND(M17&gt;0,[13]EvaluaciónRiesgoCorrup!$F$11&gt;50,[13]EvaluaciónRiesgoCorrup!$F$11&lt;76,F17=4,H17=10),$H$26,IF(AND(M17&gt;0,[13]EvaluaciónRiesgoCorrup!$F$11&gt;50,[13]EvaluaciónRiesgoCorrup!$F$11&lt;76,F17=4,H17=20),$J$26," ")))</f>
        <v xml:space="preserve"> </v>
      </c>
      <c r="BL17" s="26" t="str">
        <f>IF(AND(M17&gt;0,[13]EvaluaciónRiesgoCorrup!$F$11&gt;50,[13]EvaluaciónRiesgoCorrup!$F$11&lt;76,F17=5,H17=5),$H$27,IF(AND(M17&gt;0,[13]EvaluaciónRiesgoCorrup!$F$11&gt;50,[13]EvaluaciónRiesgoCorrup!$F$11&lt;76,F17=5,H17=10),$H$27,IF(AND(M17&gt;0,[13]EvaluaciónRiesgoCorrup!$F$11&gt;50,[13]EvaluaciónRiesgoCorrup!$F$11&lt;76,F17=5,H17=20),$J$27," ")))</f>
        <v xml:space="preserve"> </v>
      </c>
      <c r="BO17" s="26" t="str">
        <f>IF(AND(M17&gt;0,[13]EvaluaciónRiesgoCorrup!$F$11&lt;51,F17=1,H17=5),$H$23,IF(AND(M17&gt;0,[13]EvaluaciónRiesgoCorrup!$F$11&lt;51,F17=1,H17=10),$J$23,IF(AND(M17&gt;0,[13]EvaluaciónRiesgoCorrup!$F$11&lt;51,F17=1,H17=20),$K$23," ")))</f>
        <v xml:space="preserve"> </v>
      </c>
      <c r="BP17" s="26" t="str">
        <f>IF(AND(M17&gt;0,[13]EvaluaciónRiesgoCorrup!$F$11&lt;51,F17=2,H17=5),$H$24,IF(AND(M17&gt;0,[13]EvaluaciónRiesgoCorrup!$F$11&lt;51,F17=2,H17=10),$J$24,IF(AND(M17&gt;0,[13]EvaluaciónRiesgoCorrup!$F$11&lt;51,F17=2,H17=20),$K$24," ")))</f>
        <v xml:space="preserve"> </v>
      </c>
      <c r="BQ17" s="26" t="str">
        <f>IF(AND(M17&gt;0,[13]EvaluaciónRiesgoCorrup!$F$11&lt;51,F17=3,H17=5),$H$25,IF(AND(M17&gt;0,[13]EvaluaciónRiesgoCorrup!$F$11&lt;51,F17=3,H17=10),$J$25,IF(AND(M17&gt;0,[13]EvaluaciónRiesgoCorrup!$F$11&lt;51,F17=3,H17=20),$K$25," ")))</f>
        <v xml:space="preserve"> </v>
      </c>
      <c r="BR17" s="26" t="str">
        <f>IF(AND(M17&gt;0,[13]EvaluaciónRiesgoCorrup!$F$11&lt;51,F17=4,H17=5),$H$26,IF(AND(M17&gt;0,[13]EvaluaciónRiesgoCorrup!$F$11&lt;51,F17=4,H17=10),$J$26,IF(AND(M17&gt;0,[13]EvaluaciónRiesgoCorrup!$F$11&lt;51,F17=4,H17=20),$K$26," ")))</f>
        <v xml:space="preserve"> </v>
      </c>
      <c r="BS17" s="26" t="str">
        <f>IF(AND(M17&gt;0,[13]EvaluaciónRiesgoCorrup!$F$11&lt;51,F17=5,H17=5),$H$27,IF(AND(M17&gt;0,[13]EvaluaciónRiesgoCorrup!$F$11&lt;51,F17=5,H17=10),$J$27,IF(AND(M17&gt;0,[13]EvaluaciónRiesgoCorrup!$F$11&lt;51,F17=5,H17=20),$K$27," ")))</f>
        <v xml:space="preserve"> </v>
      </c>
    </row>
    <row r="18" spans="1:71" ht="396.75" customHeight="1" x14ac:dyDescent="0.25">
      <c r="A18" s="100"/>
      <c r="B18" s="101"/>
      <c r="C18" s="102"/>
      <c r="D18" s="255"/>
      <c r="E18" s="249"/>
      <c r="F18" s="250"/>
      <c r="G18" s="250"/>
      <c r="H18" s="251"/>
      <c r="I18" s="251"/>
      <c r="J18" s="252"/>
      <c r="K18" s="103"/>
      <c r="L18" s="611"/>
      <c r="M18" s="611"/>
      <c r="N18" s="305"/>
      <c r="O18" s="104"/>
      <c r="P18" s="152"/>
      <c r="Q18" s="152"/>
      <c r="R18" s="152"/>
      <c r="S18" s="320"/>
      <c r="T18" s="321"/>
      <c r="U18" s="254"/>
      <c r="V18" s="459"/>
      <c r="W18" s="459"/>
      <c r="X18" s="453"/>
    </row>
    <row r="19" spans="1:71" ht="164.25" customHeight="1" x14ac:dyDescent="0.25">
      <c r="A19" s="26"/>
      <c r="B19" s="28"/>
      <c r="C19" s="81"/>
      <c r="D19" s="126"/>
      <c r="E19" s="126"/>
      <c r="F19" s="316"/>
      <c r="G19" s="316"/>
      <c r="H19" s="316"/>
      <c r="I19" s="316"/>
      <c r="J19" s="316"/>
      <c r="K19" s="125"/>
      <c r="L19" s="316"/>
      <c r="M19" s="125"/>
      <c r="N19" s="125"/>
      <c r="O19" s="125"/>
      <c r="P19" s="125"/>
      <c r="Q19" s="125"/>
      <c r="R19" s="125"/>
      <c r="S19" s="316"/>
      <c r="T19" s="125"/>
      <c r="U19" s="125"/>
      <c r="V19" s="447"/>
      <c r="W19" s="447"/>
      <c r="X19" s="453"/>
    </row>
    <row r="20" spans="1:71" ht="15" thickBot="1" x14ac:dyDescent="0.3">
      <c r="A20" s="26"/>
      <c r="B20" s="28"/>
      <c r="C20" s="28"/>
      <c r="D20" s="81"/>
      <c r="E20" s="31"/>
      <c r="H20" s="30"/>
      <c r="I20" s="30"/>
      <c r="J20" s="30"/>
    </row>
    <row r="21" spans="1:71" ht="15.75" thickBot="1" x14ac:dyDescent="0.3">
      <c r="A21" s="6"/>
      <c r="B21" s="31"/>
      <c r="C21" s="31"/>
      <c r="D21" s="31"/>
      <c r="E21" s="31"/>
      <c r="F21" s="544" t="s">
        <v>25</v>
      </c>
      <c r="G21" s="77"/>
      <c r="H21" s="546" t="s">
        <v>9</v>
      </c>
      <c r="I21" s="546"/>
      <c r="J21" s="546"/>
      <c r="K21" s="547"/>
      <c r="L21" s="2"/>
      <c r="Q21" s="5"/>
      <c r="S21" s="2"/>
    </row>
    <row r="22" spans="1:71" ht="32.25" customHeight="1" thickBot="1" x14ac:dyDescent="0.3">
      <c r="A22" s="5"/>
      <c r="B22" s="32" t="s">
        <v>33</v>
      </c>
      <c r="C22" s="32"/>
      <c r="D22" s="32"/>
      <c r="E22" s="32"/>
      <c r="F22" s="545"/>
      <c r="G22" s="88"/>
      <c r="H22" s="33" t="s">
        <v>34</v>
      </c>
      <c r="I22" s="33"/>
      <c r="J22" s="34" t="s">
        <v>35</v>
      </c>
      <c r="K22" s="33" t="s">
        <v>36</v>
      </c>
      <c r="L22" s="2"/>
      <c r="Q22" s="5"/>
      <c r="S22" s="2"/>
    </row>
    <row r="23" spans="1:71" ht="15.75" thickBot="1" x14ac:dyDescent="0.3">
      <c r="B23" s="5" t="s">
        <v>37</v>
      </c>
      <c r="C23" s="5"/>
      <c r="F23" s="35" t="s">
        <v>38</v>
      </c>
      <c r="G23" s="35"/>
      <c r="H23" s="36" t="s">
        <v>39</v>
      </c>
      <c r="I23" s="36"/>
      <c r="J23" s="36" t="s">
        <v>39</v>
      </c>
      <c r="K23" s="37" t="s">
        <v>40</v>
      </c>
      <c r="L23" s="2"/>
      <c r="Q23" s="5"/>
      <c r="S23" s="2"/>
    </row>
    <row r="24" spans="1:71" ht="30.75" thickBot="1" x14ac:dyDescent="0.3">
      <c r="F24" s="35" t="s">
        <v>41</v>
      </c>
      <c r="G24" s="35"/>
      <c r="H24" s="36" t="s">
        <v>39</v>
      </c>
      <c r="I24" s="36"/>
      <c r="J24" s="37" t="s">
        <v>40</v>
      </c>
      <c r="K24" s="38" t="s">
        <v>42</v>
      </c>
      <c r="L24" s="2"/>
      <c r="Q24" s="5"/>
      <c r="S24" s="2"/>
    </row>
    <row r="25" spans="1:71" ht="15.75" thickBot="1" x14ac:dyDescent="0.3">
      <c r="F25" s="35" t="s">
        <v>43</v>
      </c>
      <c r="G25" s="35"/>
      <c r="H25" s="37" t="s">
        <v>40</v>
      </c>
      <c r="I25" s="37"/>
      <c r="J25" s="38" t="s">
        <v>42</v>
      </c>
      <c r="K25" s="39" t="s">
        <v>44</v>
      </c>
      <c r="L25" s="2"/>
      <c r="Q25" s="5"/>
      <c r="S25" s="2"/>
    </row>
    <row r="26" spans="1:71" ht="15.75" thickBot="1" x14ac:dyDescent="0.3">
      <c r="F26" s="35" t="s">
        <v>45</v>
      </c>
      <c r="G26" s="35"/>
      <c r="H26" s="37" t="s">
        <v>40</v>
      </c>
      <c r="I26" s="37"/>
      <c r="J26" s="38" t="s">
        <v>42</v>
      </c>
      <c r="K26" s="39" t="s">
        <v>44</v>
      </c>
      <c r="L26" s="2"/>
      <c r="Q26" s="5"/>
      <c r="S26" s="2"/>
    </row>
    <row r="27" spans="1:71" ht="30.75" thickBot="1" x14ac:dyDescent="0.3">
      <c r="F27" s="35" t="s">
        <v>46</v>
      </c>
      <c r="G27" s="35"/>
      <c r="H27" s="37" t="s">
        <v>40</v>
      </c>
      <c r="I27" s="37"/>
      <c r="J27" s="38" t="s">
        <v>42</v>
      </c>
      <c r="K27" s="39" t="s">
        <v>44</v>
      </c>
      <c r="L27" s="2"/>
      <c r="Q27" s="5"/>
      <c r="S27" s="2"/>
    </row>
    <row r="28" spans="1:71" x14ac:dyDescent="0.25">
      <c r="F28" s="2"/>
      <c r="G28" s="2"/>
      <c r="H28" s="2"/>
      <c r="I28" s="2"/>
      <c r="J28" s="2"/>
      <c r="K28" s="5"/>
      <c r="M28" s="5"/>
    </row>
    <row r="29" spans="1:71" ht="15" x14ac:dyDescent="0.25">
      <c r="F29" s="40" t="s">
        <v>47</v>
      </c>
      <c r="G29" s="40"/>
      <c r="H29" s="2"/>
      <c r="I29" s="2"/>
      <c r="J29" s="2"/>
      <c r="K29" s="5"/>
      <c r="M29" s="5"/>
      <c r="N29" s="5"/>
      <c r="O29" s="5"/>
      <c r="P29" s="5"/>
    </row>
    <row r="30" spans="1:71" ht="15" x14ac:dyDescent="0.25">
      <c r="F30" s="41" t="s">
        <v>48</v>
      </c>
      <c r="G30" s="41"/>
      <c r="H30" s="2"/>
      <c r="I30" s="2"/>
      <c r="J30" s="2"/>
      <c r="K30" s="5"/>
      <c r="M30" s="5"/>
      <c r="N30" s="5"/>
      <c r="O30" s="5"/>
      <c r="P30" s="5"/>
    </row>
    <row r="31" spans="1:71" ht="15" x14ac:dyDescent="0.25">
      <c r="F31" s="42" t="s">
        <v>49</v>
      </c>
      <c r="G31" s="42"/>
      <c r="H31" s="2"/>
      <c r="I31" s="2"/>
      <c r="J31" s="2"/>
      <c r="K31" s="5"/>
      <c r="M31" s="5"/>
      <c r="N31" s="5"/>
      <c r="O31" s="5"/>
      <c r="P31" s="5"/>
    </row>
    <row r="32" spans="1:71" ht="15" x14ac:dyDescent="0.25">
      <c r="F32" s="43" t="s">
        <v>50</v>
      </c>
      <c r="G32" s="43"/>
      <c r="H32" s="2"/>
      <c r="I32" s="2"/>
      <c r="J32" s="2"/>
      <c r="K32" s="5"/>
      <c r="M32" s="5"/>
      <c r="N32" s="5"/>
      <c r="O32" s="5"/>
      <c r="P32" s="5"/>
    </row>
  </sheetData>
  <mergeCells count="36">
    <mergeCell ref="T15:T16"/>
    <mergeCell ref="U15:U16"/>
    <mergeCell ref="V15:V16"/>
    <mergeCell ref="F21:F22"/>
    <mergeCell ref="H21:K21"/>
    <mergeCell ref="P15:R15"/>
    <mergeCell ref="L17:M17"/>
    <mergeCell ref="L18:M18"/>
    <mergeCell ref="A12:D12"/>
    <mergeCell ref="F12:V12"/>
    <mergeCell ref="AH13:AZ13"/>
    <mergeCell ref="BB13:BU13"/>
    <mergeCell ref="A14:D14"/>
    <mergeCell ref="F14:H14"/>
    <mergeCell ref="K14:K16"/>
    <mergeCell ref="L14:N14"/>
    <mergeCell ref="P14:R14"/>
    <mergeCell ref="S14:V14"/>
    <mergeCell ref="A15:A16"/>
    <mergeCell ref="B15:B16"/>
    <mergeCell ref="D15:D16"/>
    <mergeCell ref="F15:H15"/>
    <mergeCell ref="L15:N15"/>
    <mergeCell ref="S15:S16"/>
    <mergeCell ref="A6:D6"/>
    <mergeCell ref="F6:V6"/>
    <mergeCell ref="A8:D8"/>
    <mergeCell ref="F8:V8"/>
    <mergeCell ref="A10:D10"/>
    <mergeCell ref="F10:V10"/>
    <mergeCell ref="A1:D4"/>
    <mergeCell ref="F1:T4"/>
    <mergeCell ref="U1:V1"/>
    <mergeCell ref="U4:V4"/>
    <mergeCell ref="U2:X2"/>
    <mergeCell ref="U3:X3"/>
  </mergeCells>
  <conditionalFormatting sqref="N18">
    <cfRule type="containsText" dxfId="63" priority="21" operator="containsText" text="E">
      <formula>NOT(ISERROR(SEARCH("E",N18)))</formula>
    </cfRule>
    <cfRule type="containsText" dxfId="62" priority="22" operator="containsText" text="M">
      <formula>NOT(ISERROR(SEARCH("M",N18)))</formula>
    </cfRule>
    <cfRule type="containsText" dxfId="61" priority="23" operator="containsText" text="A">
      <formula>NOT(ISERROR(SEARCH("A",N18)))</formula>
    </cfRule>
    <cfRule type="containsText" dxfId="60" priority="24" operator="containsText" text="B">
      <formula>NOT(ISERROR(SEARCH("B",N18)))</formula>
    </cfRule>
  </conditionalFormatting>
  <conditionalFormatting sqref="J17 N17">
    <cfRule type="containsText" dxfId="59" priority="1" operator="containsText" text="E">
      <formula>NOT(ISERROR(SEARCH("E",J17)))</formula>
    </cfRule>
    <cfRule type="containsText" dxfId="58" priority="2" operator="containsText" text="M">
      <formula>NOT(ISERROR(SEARCH("M",J17)))</formula>
    </cfRule>
    <cfRule type="containsText" dxfId="57" priority="3" operator="containsText" text="A">
      <formula>NOT(ISERROR(SEARCH("A",J17)))</formula>
    </cfRule>
    <cfRule type="containsText" dxfId="56" priority="4" operator="containsText" text="B">
      <formula>NOT(ISERROR(SEARCH("B",J17)))</formula>
    </cfRule>
  </conditionalFormatting>
  <dataValidations count="3">
    <dataValidation type="list" allowBlank="1" showInputMessage="1" showErrorMessage="1" sqref="L18:M18 O18">
      <formula1>#REF!</formula1>
    </dataValidation>
    <dataValidation type="list" allowBlank="1" showInputMessage="1" showErrorMessage="1" sqref="P18:Q18">
      <formula1>$J$29:$J$32</formula1>
    </dataValidation>
    <dataValidation type="list" allowBlank="1" showInputMessage="1" showErrorMessage="1" promptTitle="AFECTA A:" prompt="Seleccione según a quien afecte el control" sqref="L17:M17">
      <formula1>#REF!</formula1>
    </dataValidation>
  </dataValidations>
  <pageMargins left="0.7" right="0.7" top="0.75" bottom="0.75" header="0.3" footer="0.3"/>
  <pageSetup scale="1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2"/>
  <sheetViews>
    <sheetView showGridLines="0" view="pageBreakPreview" topLeftCell="P14" zoomScale="86" zoomScaleNormal="70" zoomScaleSheetLayoutView="86" workbookViewId="0">
      <selection activeCell="W18" sqref="W18"/>
    </sheetView>
  </sheetViews>
  <sheetFormatPr baseColWidth="10" defaultColWidth="11.42578125" defaultRowHeight="14.25" x14ac:dyDescent="0.25"/>
  <cols>
    <col min="1" max="1" width="41.28515625" style="2" customWidth="1"/>
    <col min="2" max="2" width="40.42578125" style="2" customWidth="1"/>
    <col min="3" max="3" width="40.42578125" style="115" customWidth="1"/>
    <col min="4" max="4" width="40.42578125" style="2" customWidth="1"/>
    <col min="5" max="5" width="40.42578125" style="115" customWidth="1"/>
    <col min="6" max="6" width="27" style="5" customWidth="1"/>
    <col min="7" max="7" width="27" style="118" customWidth="1"/>
    <col min="8" max="8" width="19" style="5" customWidth="1"/>
    <col min="9" max="10" width="19" style="118" customWidth="1"/>
    <col min="11" max="11" width="26.140625" style="118" customWidth="1"/>
    <col min="12" max="12" width="17.7109375" style="5" customWidth="1"/>
    <col min="13" max="13" width="18.5703125" style="2" customWidth="1"/>
    <col min="14" max="14" width="21.7109375" style="2" customWidth="1"/>
    <col min="15" max="15" width="21.7109375" style="115" customWidth="1"/>
    <col min="16" max="16" width="19.85546875" style="2" customWidth="1"/>
    <col min="17" max="17" width="41.85546875" style="2" customWidth="1"/>
    <col min="18" max="18" width="29.140625" style="2" customWidth="1"/>
    <col min="19" max="19" width="36.42578125" style="5" customWidth="1"/>
    <col min="20" max="20" width="75.7109375" style="2" customWidth="1"/>
    <col min="21" max="21" width="30.42578125" style="2" customWidth="1"/>
    <col min="22" max="22" width="47.42578125" style="2" customWidth="1"/>
    <col min="23" max="23" width="23.5703125" style="441" customWidth="1"/>
    <col min="24" max="24" width="17.140625" style="2" customWidth="1"/>
    <col min="25" max="25" width="36" style="2" hidden="1" customWidth="1"/>
    <col min="26" max="26" width="0" style="2" hidden="1" customWidth="1"/>
    <col min="27" max="73" width="11.42578125" style="2" hidden="1" customWidth="1"/>
    <col min="74" max="74" width="11.42578125" style="2" customWidth="1"/>
    <col min="75" max="16384" width="11.42578125" style="2"/>
  </cols>
  <sheetData>
    <row r="1" spans="1:73" ht="21" customHeight="1" x14ac:dyDescent="0.25">
      <c r="A1" s="573"/>
      <c r="B1" s="573"/>
      <c r="C1" s="573"/>
      <c r="D1" s="573"/>
      <c r="E1" s="72"/>
      <c r="F1" s="574" t="s">
        <v>0</v>
      </c>
      <c r="G1" s="575"/>
      <c r="H1" s="575"/>
      <c r="I1" s="575"/>
      <c r="J1" s="575"/>
      <c r="K1" s="575"/>
      <c r="L1" s="575"/>
      <c r="M1" s="575"/>
      <c r="N1" s="575"/>
      <c r="O1" s="575"/>
      <c r="P1" s="575"/>
      <c r="Q1" s="575"/>
      <c r="R1" s="575"/>
      <c r="S1" s="575"/>
      <c r="T1" s="576"/>
      <c r="U1" s="583" t="s">
        <v>223</v>
      </c>
      <c r="V1" s="584"/>
      <c r="W1" s="450"/>
      <c r="X1" s="1"/>
      <c r="Y1" s="1"/>
    </row>
    <row r="2" spans="1:73" ht="22.5" customHeight="1" x14ac:dyDescent="0.25">
      <c r="A2" s="573"/>
      <c r="B2" s="573"/>
      <c r="C2" s="573"/>
      <c r="D2" s="573"/>
      <c r="E2" s="73"/>
      <c r="F2" s="577"/>
      <c r="G2" s="578"/>
      <c r="H2" s="578"/>
      <c r="I2" s="578"/>
      <c r="J2" s="578"/>
      <c r="K2" s="578"/>
      <c r="L2" s="578"/>
      <c r="M2" s="578"/>
      <c r="N2" s="578"/>
      <c r="O2" s="578"/>
      <c r="P2" s="578"/>
      <c r="Q2" s="578"/>
      <c r="R2" s="578"/>
      <c r="S2" s="578"/>
      <c r="T2" s="579"/>
      <c r="U2" s="610" t="s">
        <v>149</v>
      </c>
      <c r="V2" s="610"/>
      <c r="W2" s="610"/>
      <c r="X2" s="610"/>
      <c r="Y2" s="1"/>
    </row>
    <row r="3" spans="1:73" ht="21" customHeight="1" x14ac:dyDescent="0.25">
      <c r="A3" s="573"/>
      <c r="B3" s="573"/>
      <c r="C3" s="573"/>
      <c r="D3" s="573"/>
      <c r="E3" s="73"/>
      <c r="F3" s="577"/>
      <c r="G3" s="578"/>
      <c r="H3" s="578"/>
      <c r="I3" s="578"/>
      <c r="J3" s="578"/>
      <c r="K3" s="578"/>
      <c r="L3" s="578"/>
      <c r="M3" s="578"/>
      <c r="N3" s="578"/>
      <c r="O3" s="578"/>
      <c r="P3" s="578"/>
      <c r="Q3" s="578"/>
      <c r="R3" s="578"/>
      <c r="S3" s="578"/>
      <c r="T3" s="579"/>
      <c r="U3" s="610" t="s">
        <v>150</v>
      </c>
      <c r="V3" s="610"/>
      <c r="W3" s="610"/>
      <c r="X3" s="610"/>
      <c r="Y3" s="1"/>
    </row>
    <row r="4" spans="1:73" ht="20.25" customHeight="1" x14ac:dyDescent="0.25">
      <c r="A4" s="573"/>
      <c r="B4" s="573"/>
      <c r="C4" s="573"/>
      <c r="D4" s="573"/>
      <c r="E4" s="74"/>
      <c r="F4" s="580"/>
      <c r="G4" s="581"/>
      <c r="H4" s="581"/>
      <c r="I4" s="581"/>
      <c r="J4" s="581"/>
      <c r="K4" s="581"/>
      <c r="L4" s="581"/>
      <c r="M4" s="581"/>
      <c r="N4" s="581"/>
      <c r="O4" s="581"/>
      <c r="P4" s="581"/>
      <c r="Q4" s="581"/>
      <c r="R4" s="581"/>
      <c r="S4" s="581"/>
      <c r="T4" s="582"/>
      <c r="U4" s="583" t="s">
        <v>1</v>
      </c>
      <c r="V4" s="584"/>
      <c r="W4" s="450"/>
      <c r="X4" s="1"/>
      <c r="Y4" s="1"/>
    </row>
    <row r="5" spans="1:73" ht="8.25" customHeight="1" x14ac:dyDescent="0.25">
      <c r="B5" s="3"/>
      <c r="C5" s="116"/>
      <c r="D5" s="3"/>
      <c r="E5" s="116"/>
      <c r="F5" s="4"/>
      <c r="G5" s="117"/>
      <c r="H5" s="4"/>
      <c r="I5" s="117"/>
      <c r="J5" s="117"/>
      <c r="K5" s="117"/>
      <c r="L5" s="4"/>
      <c r="M5" s="4"/>
      <c r="N5" s="4"/>
      <c r="O5" s="117"/>
      <c r="P5" s="4"/>
      <c r="Q5" s="4"/>
      <c r="X5" s="6"/>
      <c r="Y5" s="6"/>
    </row>
    <row r="6" spans="1:73" ht="15" x14ac:dyDescent="0.25">
      <c r="A6" s="553" t="s">
        <v>2</v>
      </c>
      <c r="B6" s="553"/>
      <c r="C6" s="553"/>
      <c r="D6" s="553"/>
      <c r="E6" s="75"/>
      <c r="F6" s="567" t="str">
        <f>[15]IdentRiesgo!B2</f>
        <v>GESTION FINANCIERA - TESORERÍA</v>
      </c>
      <c r="G6" s="568"/>
      <c r="H6" s="568"/>
      <c r="I6" s="568"/>
      <c r="J6" s="568"/>
      <c r="K6" s="568"/>
      <c r="L6" s="568"/>
      <c r="M6" s="568"/>
      <c r="N6" s="568"/>
      <c r="O6" s="568"/>
      <c r="P6" s="568"/>
      <c r="Q6" s="568"/>
      <c r="R6" s="568"/>
      <c r="S6" s="568"/>
      <c r="T6" s="568"/>
      <c r="U6" s="568"/>
      <c r="V6" s="569"/>
      <c r="W6" s="445"/>
      <c r="X6" s="6"/>
      <c r="Y6" s="6"/>
    </row>
    <row r="7" spans="1:73" ht="6.75" customHeight="1" x14ac:dyDescent="0.25">
      <c r="B7" s="3"/>
      <c r="C7" s="116"/>
      <c r="D7" s="3"/>
      <c r="E7" s="116"/>
      <c r="F7" s="7"/>
      <c r="G7" s="121"/>
      <c r="H7" s="7"/>
      <c r="I7" s="121"/>
      <c r="J7" s="121"/>
      <c r="K7" s="121"/>
      <c r="L7" s="7"/>
      <c r="M7" s="7"/>
      <c r="N7" s="7"/>
      <c r="O7" s="121"/>
      <c r="P7" s="7"/>
      <c r="Q7" s="7"/>
      <c r="R7" s="8"/>
      <c r="S7" s="8"/>
      <c r="T7" s="8"/>
      <c r="U7" s="8"/>
      <c r="V7" s="8"/>
      <c r="W7" s="444"/>
      <c r="X7" s="6"/>
      <c r="Y7" s="6"/>
    </row>
    <row r="8" spans="1:73" ht="39.75" customHeight="1" x14ac:dyDescent="0.25">
      <c r="A8" s="553" t="s">
        <v>3</v>
      </c>
      <c r="B8" s="553"/>
      <c r="C8" s="553"/>
      <c r="D8" s="553"/>
      <c r="E8" s="75"/>
      <c r="F8" s="570" t="str">
        <f>[15]IdentRiesgo!B3</f>
        <v>Asegurar la oportuna provisión de recursos financieros necesarios para el autosostenimiento y desempeño eficaz y eficiente de la gestión financiera de la entidad mediante el registro de la ejecución presupuestal, la presentación de estados financieros y el recaudo de los ingresos y el pago de los compromisos.</v>
      </c>
      <c r="G8" s="571"/>
      <c r="H8" s="571"/>
      <c r="I8" s="571"/>
      <c r="J8" s="571"/>
      <c r="K8" s="571"/>
      <c r="L8" s="571"/>
      <c r="M8" s="571"/>
      <c r="N8" s="571"/>
      <c r="O8" s="571"/>
      <c r="P8" s="571"/>
      <c r="Q8" s="571"/>
      <c r="R8" s="571"/>
      <c r="S8" s="571"/>
      <c r="T8" s="571"/>
      <c r="U8" s="571"/>
      <c r="V8" s="572"/>
      <c r="W8" s="451"/>
      <c r="X8" s="9"/>
      <c r="Y8" s="9"/>
    </row>
    <row r="9" spans="1:73" ht="6.75" customHeight="1" x14ac:dyDescent="0.25">
      <c r="B9" s="10"/>
      <c r="C9" s="119"/>
      <c r="D9" s="10"/>
      <c r="E9" s="119"/>
      <c r="F9" s="11"/>
      <c r="G9" s="122"/>
      <c r="H9" s="11"/>
      <c r="I9" s="122"/>
      <c r="J9" s="122"/>
      <c r="K9" s="122"/>
      <c r="L9" s="11"/>
      <c r="M9" s="11"/>
      <c r="N9" s="11"/>
      <c r="O9" s="122"/>
      <c r="P9" s="11"/>
      <c r="Q9" s="11"/>
      <c r="R9" s="8"/>
      <c r="S9" s="8"/>
      <c r="T9" s="8"/>
      <c r="U9" s="8"/>
      <c r="V9" s="8"/>
      <c r="W9" s="444"/>
      <c r="X9" s="6"/>
      <c r="Y9" s="6"/>
    </row>
    <row r="10" spans="1:73" ht="15" x14ac:dyDescent="0.25">
      <c r="A10" s="553" t="s">
        <v>4</v>
      </c>
      <c r="B10" s="553"/>
      <c r="C10" s="553"/>
      <c r="D10" s="553"/>
      <c r="E10" s="75"/>
      <c r="F10" s="554" t="s">
        <v>154</v>
      </c>
      <c r="G10" s="555"/>
      <c r="H10" s="555"/>
      <c r="I10" s="555"/>
      <c r="J10" s="555"/>
      <c r="K10" s="555"/>
      <c r="L10" s="555"/>
      <c r="M10" s="555"/>
      <c r="N10" s="555"/>
      <c r="O10" s="555"/>
      <c r="P10" s="555"/>
      <c r="Q10" s="555"/>
      <c r="R10" s="555"/>
      <c r="S10" s="555"/>
      <c r="T10" s="555"/>
      <c r="U10" s="555"/>
      <c r="V10" s="556"/>
      <c r="W10" s="443"/>
      <c r="X10" s="12"/>
      <c r="Y10" s="12"/>
    </row>
    <row r="11" spans="1:73" ht="5.25" customHeight="1" x14ac:dyDescent="0.25">
      <c r="B11" s="3"/>
      <c r="C11" s="116"/>
      <c r="D11" s="3"/>
      <c r="E11" s="116"/>
      <c r="F11" s="13"/>
      <c r="G11" s="141"/>
      <c r="H11" s="13"/>
      <c r="I11" s="141"/>
      <c r="J11" s="141"/>
      <c r="K11" s="141"/>
      <c r="L11" s="13"/>
      <c r="M11" s="13"/>
      <c r="N11" s="13"/>
      <c r="O11" s="141"/>
      <c r="P11" s="13"/>
      <c r="Q11" s="13"/>
      <c r="R11" s="8"/>
      <c r="S11" s="8"/>
      <c r="T11" s="8"/>
      <c r="U11" s="8"/>
      <c r="V11" s="8"/>
      <c r="W11" s="444"/>
      <c r="X11" s="6"/>
      <c r="Y11" s="6"/>
    </row>
    <row r="12" spans="1:73" ht="15.75" x14ac:dyDescent="0.25">
      <c r="A12" s="553" t="s">
        <v>5</v>
      </c>
      <c r="B12" s="553"/>
      <c r="C12" s="553"/>
      <c r="D12" s="553"/>
      <c r="E12" s="75"/>
      <c r="F12" s="585">
        <v>43496</v>
      </c>
      <c r="G12" s="586"/>
      <c r="H12" s="586"/>
      <c r="I12" s="586"/>
      <c r="J12" s="586"/>
      <c r="K12" s="586"/>
      <c r="L12" s="586"/>
      <c r="M12" s="586"/>
      <c r="N12" s="586"/>
      <c r="O12" s="586"/>
      <c r="P12" s="586"/>
      <c r="Q12" s="586"/>
      <c r="R12" s="586"/>
      <c r="S12" s="586"/>
      <c r="T12" s="586"/>
      <c r="U12" s="586"/>
      <c r="V12" s="587"/>
      <c r="W12" s="457"/>
      <c r="X12" s="12"/>
      <c r="Y12" s="12"/>
      <c r="AB12" s="2" t="s">
        <v>6</v>
      </c>
    </row>
    <row r="13" spans="1:73" ht="15" x14ac:dyDescent="0.25">
      <c r="B13" s="3"/>
      <c r="C13" s="116"/>
      <c r="D13" s="3"/>
      <c r="E13" s="116"/>
      <c r="F13" s="14"/>
      <c r="G13" s="123"/>
      <c r="H13" s="15"/>
      <c r="I13" s="120"/>
      <c r="J13" s="120"/>
      <c r="K13" s="120"/>
      <c r="L13" s="15"/>
      <c r="M13" s="7"/>
      <c r="N13" s="7"/>
      <c r="O13" s="121"/>
      <c r="P13" s="7"/>
      <c r="Q13" s="7"/>
      <c r="R13" s="7"/>
      <c r="S13" s="15"/>
      <c r="T13" s="7"/>
      <c r="X13" s="6"/>
      <c r="Y13" s="6"/>
      <c r="AB13" s="2" t="s">
        <v>7</v>
      </c>
      <c r="AH13" s="557" t="s">
        <v>8</v>
      </c>
      <c r="AI13" s="557"/>
      <c r="AJ13" s="557"/>
      <c r="AK13" s="557"/>
      <c r="AL13" s="557"/>
      <c r="AM13" s="557"/>
      <c r="AN13" s="557"/>
      <c r="AO13" s="557"/>
      <c r="AP13" s="557"/>
      <c r="AQ13" s="557"/>
      <c r="AR13" s="557"/>
      <c r="AS13" s="557"/>
      <c r="AT13" s="557"/>
      <c r="AU13" s="557"/>
      <c r="AV13" s="557"/>
      <c r="AW13" s="557"/>
      <c r="AX13" s="557"/>
      <c r="AY13" s="557"/>
      <c r="AZ13" s="557"/>
      <c r="BB13" s="557" t="s">
        <v>9</v>
      </c>
      <c r="BC13" s="557"/>
      <c r="BD13" s="557"/>
      <c r="BE13" s="557"/>
      <c r="BF13" s="557"/>
      <c r="BG13" s="557"/>
      <c r="BH13" s="557"/>
      <c r="BI13" s="557"/>
      <c r="BJ13" s="557"/>
      <c r="BK13" s="557"/>
      <c r="BL13" s="557"/>
      <c r="BM13" s="557"/>
      <c r="BN13" s="557"/>
      <c r="BO13" s="557"/>
      <c r="BP13" s="557"/>
      <c r="BQ13" s="557"/>
      <c r="BR13" s="557"/>
      <c r="BS13" s="557"/>
      <c r="BT13" s="557"/>
      <c r="BU13" s="557"/>
    </row>
    <row r="14" spans="1:73" s="17" customFormat="1" ht="15" customHeight="1" x14ac:dyDescent="0.25">
      <c r="A14" s="558" t="s">
        <v>10</v>
      </c>
      <c r="B14" s="559"/>
      <c r="C14" s="559"/>
      <c r="D14" s="560"/>
      <c r="E14" s="76"/>
      <c r="F14" s="561" t="s">
        <v>11</v>
      </c>
      <c r="G14" s="561"/>
      <c r="H14" s="561"/>
      <c r="I14" s="136"/>
      <c r="J14" s="136"/>
      <c r="K14" s="136"/>
      <c r="L14" s="558" t="s">
        <v>13</v>
      </c>
      <c r="M14" s="559"/>
      <c r="N14" s="560"/>
      <c r="O14" s="149"/>
      <c r="P14" s="565" t="s">
        <v>14</v>
      </c>
      <c r="Q14" s="565"/>
      <c r="R14" s="565"/>
      <c r="S14" s="565" t="s">
        <v>15</v>
      </c>
      <c r="T14" s="565"/>
      <c r="U14" s="565"/>
      <c r="V14" s="561"/>
      <c r="W14" s="452"/>
    </row>
    <row r="15" spans="1:73" s="17" customFormat="1" ht="14.25" customHeight="1" x14ac:dyDescent="0.25">
      <c r="A15" s="563" t="s">
        <v>16</v>
      </c>
      <c r="B15" s="563" t="s">
        <v>17</v>
      </c>
      <c r="C15" s="150"/>
      <c r="D15" s="563" t="s">
        <v>18</v>
      </c>
      <c r="E15" s="150"/>
      <c r="F15" s="543" t="s">
        <v>19</v>
      </c>
      <c r="G15" s="543"/>
      <c r="H15" s="543"/>
      <c r="I15" s="146"/>
      <c r="J15" s="179"/>
      <c r="K15" s="179"/>
      <c r="L15" s="548" t="s">
        <v>20</v>
      </c>
      <c r="M15" s="549"/>
      <c r="N15" s="550"/>
      <c r="O15" s="148"/>
      <c r="P15" s="548" t="s">
        <v>21</v>
      </c>
      <c r="Q15" s="549"/>
      <c r="R15" s="550"/>
      <c r="S15" s="543" t="s">
        <v>22</v>
      </c>
      <c r="T15" s="543" t="s">
        <v>23</v>
      </c>
      <c r="U15" s="543" t="s">
        <v>4</v>
      </c>
      <c r="V15" s="543" t="s">
        <v>24</v>
      </c>
      <c r="W15" s="446"/>
      <c r="X15" s="435"/>
    </row>
    <row r="16" spans="1:73" s="17" customFormat="1" ht="63" customHeight="1" thickBot="1" x14ac:dyDescent="0.3">
      <c r="A16" s="566"/>
      <c r="B16" s="566"/>
      <c r="C16" s="151" t="s">
        <v>70</v>
      </c>
      <c r="D16" s="566"/>
      <c r="E16" s="151" t="s">
        <v>71</v>
      </c>
      <c r="F16" s="18" t="s">
        <v>25</v>
      </c>
      <c r="G16" s="146" t="s">
        <v>70</v>
      </c>
      <c r="H16" s="18" t="s">
        <v>9</v>
      </c>
      <c r="I16" s="146" t="s">
        <v>70</v>
      </c>
      <c r="J16" s="179" t="s">
        <v>26</v>
      </c>
      <c r="K16" s="179" t="s">
        <v>73</v>
      </c>
      <c r="L16" s="18" t="s">
        <v>25</v>
      </c>
      <c r="M16" s="18" t="s">
        <v>9</v>
      </c>
      <c r="N16" s="20" t="s">
        <v>26</v>
      </c>
      <c r="O16" s="151" t="s">
        <v>74</v>
      </c>
      <c r="P16" s="18" t="s">
        <v>27</v>
      </c>
      <c r="Q16" s="18" t="s">
        <v>23</v>
      </c>
      <c r="R16" s="18" t="s">
        <v>28</v>
      </c>
      <c r="S16" s="543"/>
      <c r="T16" s="543"/>
      <c r="U16" s="543"/>
      <c r="V16" s="543"/>
      <c r="W16" s="446"/>
      <c r="X16" s="435"/>
    </row>
    <row r="17" spans="1:71" ht="354.75" customHeight="1" x14ac:dyDescent="0.25">
      <c r="A17" s="184" t="s">
        <v>139</v>
      </c>
      <c r="B17" s="185" t="s">
        <v>140</v>
      </c>
      <c r="C17" s="186" t="s">
        <v>141</v>
      </c>
      <c r="D17" s="187" t="s">
        <v>142</v>
      </c>
      <c r="E17" s="188" t="s">
        <v>81</v>
      </c>
      <c r="F17" s="189">
        <v>2</v>
      </c>
      <c r="G17" s="190" t="s">
        <v>88</v>
      </c>
      <c r="H17" s="206">
        <v>20</v>
      </c>
      <c r="I17" s="191" t="s">
        <v>84</v>
      </c>
      <c r="J17" s="192" t="s">
        <v>42</v>
      </c>
      <c r="K17" s="193" t="s">
        <v>143</v>
      </c>
      <c r="L17" s="183" t="s">
        <v>9</v>
      </c>
      <c r="M17" s="616" t="s">
        <v>39</v>
      </c>
      <c r="N17" s="617"/>
      <c r="O17" s="210" t="s">
        <v>85</v>
      </c>
      <c r="P17" s="194" t="s">
        <v>137</v>
      </c>
      <c r="Q17" s="195" t="s">
        <v>144</v>
      </c>
      <c r="R17" s="196" t="s">
        <v>145</v>
      </c>
      <c r="S17" s="458"/>
      <c r="T17" s="535"/>
      <c r="U17" s="347" t="s">
        <v>213</v>
      </c>
      <c r="V17" s="459" t="s">
        <v>214</v>
      </c>
      <c r="W17" s="535"/>
      <c r="X17" s="453"/>
      <c r="Y17" s="314" t="str">
        <f>IF(AND(F17=1,H17=5),$H$23,IF(AND(F17=1,H17=10),#REF!,IF(AND(F17=1,H17=20),#REF!," ")))</f>
        <v xml:space="preserve"> </v>
      </c>
      <c r="Z17" s="26" t="e">
        <f>IF(AND(F17=2,H17=5),$H$24,IF(AND(F17=2,H17=10),#REF!,IF(AND(F17=2,H17=20),#REF!," ")))</f>
        <v>#REF!</v>
      </c>
      <c r="AA17" s="26" t="str">
        <f>IF(AND(F17=3,H17=5),$H$25,IF(AND(F17=3,H17=10),#REF!,IF(AND(F17=3,H17=20),#REF!," ")))</f>
        <v xml:space="preserve"> </v>
      </c>
      <c r="AB17" s="26" t="str">
        <f>IF(AND(F17=4,H17=5),$H$26,IF(AND(F17=4,H17=10),#REF!,IF(AND(F17=4,H17=20),#REF!," ")))</f>
        <v xml:space="preserve"> </v>
      </c>
      <c r="AC17" s="26" t="str">
        <f>IF(AND(F17=5,H17=5),$H$27,IF(AND(F17=5,H17=10),#REF!,IF(AND(F17=5,H17=20),#REF!," ")))</f>
        <v xml:space="preserve"> </v>
      </c>
      <c r="AE17" s="27" t="s">
        <v>30</v>
      </c>
      <c r="AF17" s="26" t="str">
        <f>IF(AND(L17&gt;0,'[15]EvaluaciónRiesgoCorrup (1)'!$F$11&gt;75,F17=1,H17=5),$H$23,IF(AND(L17&gt;0,'[15]EvaluaciónRiesgoCorrup (1)'!$F$11&gt;75,F17=1,H17=10),#REF!,IF(AND(L17&gt;0,'[15]EvaluaciónRiesgoCorrup (1)'!$F$11&gt;75,F17=1,H17=20),#REF!," ")))</f>
        <v xml:space="preserve"> </v>
      </c>
      <c r="AG17" s="26" t="e">
        <f>IF(AND(L17&gt;0,'[15]EvaluaciónRiesgoCorrup (1)'!$F$11&gt;75,F17=2,H17=5),$H$23,IF(AND(L17&gt;0,'[15]EvaluaciónRiesgoCorrup (1)'!$F$11&gt;75,F17=2,H17=10),#REF!,IF(AND(L17&gt;0,'[15]EvaluaciónRiesgoCorrup (1)'!$F$11&gt;75,F17=2,H17=20),#REF!," ")))</f>
        <v>#REF!</v>
      </c>
      <c r="AH17" s="26" t="str">
        <f>IF(AND(L17&gt;0,'[15]EvaluaciónRiesgoCorrup (1)'!$F$11&gt;75,F17=3,H17=5),$H$23,IF(AND(L17&gt;0,'[15]EvaluaciónRiesgoCorrup (1)'!$F$11&gt;75,F17=3,H17=10),#REF!,IF(AND(L17&gt;0,'[15]EvaluaciónRiesgoCorrup (1)'!$F$11&gt;75,F17=3,H17=20),#REF!," ")))</f>
        <v xml:space="preserve"> </v>
      </c>
      <c r="AI17" s="26" t="str">
        <f>IF(AND(L17&gt;0,'[15]EvaluaciónRiesgoCorrup (1)'!$F$11&gt;75,F17=4,H17=5),$H$24,IF(AND(L17&gt;0,'[15]EvaluaciónRiesgoCorrup (1)'!$F$11&gt;75,F17=4,H17=10),#REF!,IF(AND(L17&gt;0,'[15]EvaluaciónRiesgoCorrup (1)'!$F$11&gt;75,F17=4,H17=20),#REF!," ")))</f>
        <v xml:space="preserve"> </v>
      </c>
      <c r="AJ17" s="26" t="str">
        <f>IF(AND(L17&gt;0,'[15]EvaluaciónRiesgoCorrup (1)'!$F$11&gt;75,F17=5,H17=5),$H$25,IF(AND(L17&gt;0,'[15]EvaluaciónRiesgoCorrup (1)'!$F$11&gt;75,F17=5,H17=10),#REF!,IF(AND(L17&gt;0,'[15]EvaluaciónRiesgoCorrup (1)'!$F$11&gt;75,F17=5,H17=20),#REF!," ")))</f>
        <v xml:space="preserve"> </v>
      </c>
      <c r="AK17" s="27" t="s">
        <v>31</v>
      </c>
      <c r="AL17" s="26" t="str">
        <f>IF(AND(L17&gt;0,'[15]EvaluaciónRiesgoCorrup (1)'!$F$11&gt;50,'[15]EvaluaciónRiesgoCorrup (1)'!$F$11&lt;76,F17=1,H17=5),$H$23,IF(AND(L17&gt;0,'[15]EvaluaciónRiesgoCorrup (1)'!$F$11&gt;50,'[15]EvaluaciónRiesgoCorrup (1)'!$F$11&lt;76,F17=1,H17=10),#REF!,IF(AND(L17&gt;0,'[15]EvaluaciónRiesgoCorrup (1)'!$F$11&gt;50,'[15]EvaluaciónRiesgoCorrup (1)'!$F$11&lt;76,F17=1,H17=20),#REF!," ")))</f>
        <v xml:space="preserve"> </v>
      </c>
      <c r="AM17" s="26" t="str">
        <f>IF(AND(L17&gt;0,'[15]EvaluaciónRiesgoCorrup (1)'!$F$11&gt;50,'[15]EvaluaciónRiesgoCorrup (1)'!$F$11&lt;76,F17=2,H17=5),$H$23,IF(AND(L17&gt;0,'[15]EvaluaciónRiesgoCorrup (1)'!$F$11&gt;50,'[15]EvaluaciónRiesgoCorrup (1)'!$F$11&lt;76,F17=2,H17=10),#REF!,IF(AND(L17&gt;0,'[15]EvaluaciónRiesgoCorrup (1)'!$F$11&gt;50,'[15]EvaluaciónRiesgoCorrup (1)'!$F$11&lt;76,F17=2,H17=20),#REF!," ")))</f>
        <v xml:space="preserve"> </v>
      </c>
      <c r="AN17" s="26" t="str">
        <f>IF(AND(L17&gt;0,'[15]EvaluaciónRiesgoCorrup (1)'!$F$11&gt;50,'[15]EvaluaciónRiesgoCorrup (1)'!$F$11&lt;76,F17=3,H17=5),$H$24,IF(AND(L17&gt;0,'[15]EvaluaciónRiesgoCorrup (1)'!$F$11&gt;50,'[15]EvaluaciónRiesgoCorrup (1)'!$F$11&lt;76,F17=3,H17=10),#REF!,IF(AND(L17&gt;0,'[15]EvaluaciónRiesgoCorrup (1)'!$F$11&gt;50,'[15]EvaluaciónRiesgoCorrup (1)'!$F$11&lt;76,F17=3,H17=20),#REF!," ")))</f>
        <v xml:space="preserve"> </v>
      </c>
      <c r="AO17" s="26" t="str">
        <f>IF(AND(L17&gt;0,'[15]EvaluaciónRiesgoCorrup (1)'!$F$11&gt;50,'[15]EvaluaciónRiesgoCorrup (1)'!$F$11&lt;76,F17=4,H17=5),$H$25,IF(AND(L17&gt;0,'[15]EvaluaciónRiesgoCorrup (1)'!$F$11&gt;50,'[15]EvaluaciónRiesgoCorrup (1)'!$F$11&lt;76,F17=4,H17=10),#REF!,IF(AND(L17&gt;0,'[15]EvaluaciónRiesgoCorrup (1)'!$F$11&gt;50,'[15]EvaluaciónRiesgoCorrup (1)'!$F$11&lt;76,F17=4,H17=20),#REF!," ")))</f>
        <v xml:space="preserve"> </v>
      </c>
      <c r="AP17" s="26" t="str">
        <f>IF(AND(L17&gt;0,'[15]EvaluaciónRiesgoCorrup (1)'!$F$11&gt;50,'[15]EvaluaciónRiesgoCorrup (1)'!$F$11&lt;76,F17=5,H17=5),$H$26,IF(AND(L17&gt;0,'[15]EvaluaciónRiesgoCorrup (1)'!$F$11&gt;50,'[15]EvaluaciónRiesgoCorrup (1)'!$F$11&lt;76,F17=5,H17=10),#REF!,IF(AND(L17&gt;0,'[15]EvaluaciónRiesgoCorrup (1)'!$F$11&gt;50,'[15]EvaluaciónRiesgoCorrup (1)'!$F$11&lt;76,F17=5,H17=20),#REF!," ")))</f>
        <v xml:space="preserve"> </v>
      </c>
      <c r="AR17" s="27" t="s">
        <v>32</v>
      </c>
      <c r="AS17" s="26" t="str">
        <f>IF(AND(L17&gt;0,'[15]EvaluaciónRiesgoCorrup (1)'!$F$11&lt;51,F17=1,H17=5),$H$23,IF(AND(L17&gt;0,'[15]EvaluaciónRiesgoCorrup (1)'!$F$11&lt;51,F17=1,H17=10),#REF!,IF(AND(L17&gt;0,'[15]EvaluaciónRiesgoCorrup (1)'!$F$11&lt;51,F17=1,H17=20),#REF!," ")))</f>
        <v xml:space="preserve"> </v>
      </c>
      <c r="AT17" s="26" t="str">
        <f>IF(AND(L17&gt;0,'[15]EvaluaciónRiesgoCorrup (1)'!$F$11&lt;51,F17=2,H17=5),$H$24,IF(AND(L17&gt;0,'[15]EvaluaciónRiesgoCorrup (1)'!$F$11&lt;51,F17=2,H17=10),#REF!,IF(AND(L17&gt;0,'[15]EvaluaciónRiesgoCorrup (1)'!$F$11&lt;51,F17=2,H17=20),#REF!," ")))</f>
        <v xml:space="preserve"> </v>
      </c>
      <c r="AU17" s="26" t="str">
        <f>IF(AND(L17&gt;0,'[15]EvaluaciónRiesgoCorrup (1)'!$F$11&lt;51,F17=3,H17=5),$H$25,IF(AND(L17&gt;0,'[15]EvaluaciónRiesgoCorrup (1)'!$F$11&lt;51,F17=3,H17=10),#REF!,IF(AND(L17&gt;0,'[15]EvaluaciónRiesgoCorrup (1)'!$F$11&lt;51,F17=3,H17=20),#REF!," ")))</f>
        <v xml:space="preserve"> </v>
      </c>
      <c r="AV17" s="26" t="str">
        <f>IF(AND(L17&gt;0,'[15]EvaluaciónRiesgoCorrup (1)'!$F$11&lt;51,F17=4,H17=5),$H$26,IF(AND(L17&gt;0,'[15]EvaluaciónRiesgoCorrup (1)'!$F$11&lt;51,F17=4,H17=10),#REF!,IF(AND(L17&gt;0,'[15]EvaluaciónRiesgoCorrup (1)'!$F$11&lt;51,F17=4,H17=20),#REF!," ")))</f>
        <v xml:space="preserve"> </v>
      </c>
      <c r="AW17" s="26" t="str">
        <f>IF(AND(L17&gt;0,'[15]EvaluaciónRiesgoCorrup (1)'!$F$11&lt;51,F17=5,H17=5),$H$27,IF(AND(L17&gt;0,'[15]EvaluaciónRiesgoCorrup (1)'!$F$11&lt;51,F17=5,H17=10),#REF!,IF(AND(L17&gt;0,'[15]EvaluaciónRiesgoCorrup (1)'!$F$11&lt;51,F17=5,H17=20),#REF!," ")))</f>
        <v xml:space="preserve"> </v>
      </c>
      <c r="AZ17" s="27" t="s">
        <v>30</v>
      </c>
      <c r="BA17" s="26" t="str">
        <f>IF(AND(M17&gt;0,'[15]EvaluaciónRiesgoCorrup (1)'!$F$11&gt;75,F17=1,H17=5),$H$23,IF(AND(M17&gt;0,'[15]EvaluaciónRiesgoCorrup (1)'!$F$11&gt;75,F17=1,H17=10),$H$23,IF(AND(M17&gt;0,'[15]EvaluaciónRiesgoCorrup (1)'!$F$11&gt;75,F17=1,H17=20),$H$23," ")))</f>
        <v xml:space="preserve"> </v>
      </c>
      <c r="BB17" s="26" t="str">
        <f>IF(AND(M17&gt;0,'[15]EvaluaciónRiesgoCorrup (1)'!$F$11&gt;75,F17=2,H17=5),$H$24,IF(AND(M17&gt;0,'[15]EvaluaciónRiesgoCorrup (1)'!$F$11&gt;75,F17=2,H17=10),$H$24,IF(AND(M17&gt;0,'[15]EvaluaciónRiesgoCorrup (1)'!$F$11&gt;75,F17=2,H17=20),$H$24," ")))</f>
        <v>B</v>
      </c>
      <c r="BC17" s="26" t="str">
        <f>IF(AND(M17&gt;0,'[15]EvaluaciónRiesgoCorrup (1)'!$F$11&gt;75,F17=3,H17=5),$H$25,IF(AND(M17&gt;0,'[15]EvaluaciónRiesgoCorrup (1)'!$F$11&gt;75,F17=3,H17=10),$H$25,IF(AND(M17&gt;0,'[15]EvaluaciónRiesgoCorrup (1)'!$F$11&gt;75,F17=3,H17=20),$H$25," ")))</f>
        <v xml:space="preserve"> </v>
      </c>
      <c r="BD17" s="26" t="str">
        <f>IF(AND(M17&gt;0,'[15]EvaluaciónRiesgoCorrup (1)'!$F$11&gt;75,F17=4,H17=5),$H$26,IF(AND(M17&gt;0,'[15]EvaluaciónRiesgoCorrup (1)'!$F$11&gt;75,F17=4,H17=10),$H$26,IF(AND(M17&gt;0,'[15]EvaluaciónRiesgoCorrup (1)'!$F$11&gt;75,F17=4,H17=20),$H$26," ")))</f>
        <v xml:space="preserve"> </v>
      </c>
      <c r="BE17" s="26" t="str">
        <f>IF(AND(M17&gt;0,'[15]EvaluaciónRiesgoCorrup (1)'!$F$11&gt;75,F17=5,H17=5),$H$27,IF(AND(M17&gt;0,'[15]EvaluaciónRiesgoCorrup (1)'!$F$11&gt;75,F17=5,H17=10),$H$27,IF(AND(M17&gt;0,'[15]EvaluaciónRiesgoCorrup (1)'!$F$11&gt;75,F17=5,H17=20),$H$27," ")))</f>
        <v xml:space="preserve"> </v>
      </c>
      <c r="BG17" s="27" t="s">
        <v>31</v>
      </c>
      <c r="BH17" s="26" t="str">
        <f>IF(AND(M17&gt;0,'[15]EvaluaciónRiesgoCorrup (1)'!$F$11&gt;50,'[15]EvaluaciónRiesgoCorrup (1)'!$F$11&lt;76,F17=1,H17=5),$H$23,IF(AND(M17&gt;0,'[15]EvaluaciónRiesgoCorrup (1)'!$F$11&gt;50,'[15]EvaluaciónRiesgoCorrup (1)'!$F$11&lt;76,F17=1,H17=10),$H$23,IF(AND(M17&gt;0,'[15]EvaluaciónRiesgoCorrup (1)'!$F$11&gt;50,'[15]EvaluaciónRiesgoCorrup (1)'!$F$11&lt;76,F17=1,H17=20),#REF!," ")))</f>
        <v xml:space="preserve"> </v>
      </c>
      <c r="BI17" s="26" t="str">
        <f>IF(AND(M17&gt;0,'[15]EvaluaciónRiesgoCorrup (1)'!$F$11&gt;50,'[15]EvaluaciónRiesgoCorrup (1)'!$F$11&lt;76,F17=2,H17=5),$H$24,IF(AND(M17&gt;0,'[15]EvaluaciónRiesgoCorrup (1)'!$F$11&gt;50,'[15]EvaluaciónRiesgoCorrup (1)'!$F$11&lt;76,F17=2,H17=10),$H$24,IF(AND(M17&gt;0,'[15]EvaluaciónRiesgoCorrup (1)'!$F$11&gt;50,'[15]EvaluaciónRiesgoCorrup (1)'!$F$11&lt;76,F17=2,H17=20),#REF!," ")))</f>
        <v xml:space="preserve"> </v>
      </c>
      <c r="BJ17" s="26" t="str">
        <f>IF(AND(M17&gt;0,'[15]EvaluaciónRiesgoCorrup (1)'!$F$11&gt;50,'[15]EvaluaciónRiesgoCorrup (1)'!$F$11&lt;76,F17=3,H17=5),$H$25,IF(AND(M17&gt;0,'[15]EvaluaciónRiesgoCorrup (1)'!$F$11&gt;50,'[15]EvaluaciónRiesgoCorrup (1)'!$F$11&lt;76,F17=3,H17=10),$H$25,IF(AND(M17&gt;0,'[15]EvaluaciónRiesgoCorrup (1)'!$F$11&gt;50,'[15]EvaluaciónRiesgoCorrup (1)'!$F$11&lt;76,F17=3,H17=20),#REF!," ")))</f>
        <v xml:space="preserve"> </v>
      </c>
      <c r="BK17" s="26" t="str">
        <f>IF(AND(M17&gt;0,'[15]EvaluaciónRiesgoCorrup (1)'!$F$11&gt;50,'[15]EvaluaciónRiesgoCorrup (1)'!$F$11&lt;76,F17=4,H17=5),$H$26,IF(AND(M17&gt;0,'[15]EvaluaciónRiesgoCorrup (1)'!$F$11&gt;50,'[15]EvaluaciónRiesgoCorrup (1)'!$F$11&lt;76,F17=4,H17=10),$H$26,IF(AND(M17&gt;0,'[15]EvaluaciónRiesgoCorrup (1)'!$F$11&gt;50,'[15]EvaluaciónRiesgoCorrup (1)'!$F$11&lt;76,F17=4,H17=20),#REF!," ")))</f>
        <v xml:space="preserve"> </v>
      </c>
      <c r="BL17" s="26" t="str">
        <f>IF(AND(M17&gt;0,'[15]EvaluaciónRiesgoCorrup (1)'!$F$11&gt;50,'[15]EvaluaciónRiesgoCorrup (1)'!$F$11&lt;76,F17=5,H17=5),$H$27,IF(AND(M17&gt;0,'[15]EvaluaciónRiesgoCorrup (1)'!$F$11&gt;50,'[15]EvaluaciónRiesgoCorrup (1)'!$F$11&lt;76,F17=5,H17=10),$H$27,IF(AND(M17&gt;0,'[15]EvaluaciónRiesgoCorrup (1)'!$F$11&gt;50,'[15]EvaluaciónRiesgoCorrup (1)'!$F$11&lt;76,F17=5,H17=20),#REF!," ")))</f>
        <v xml:space="preserve"> </v>
      </c>
      <c r="BN17" s="27" t="s">
        <v>32</v>
      </c>
      <c r="BO17" s="26" t="str">
        <f>IF(AND(M17&gt;0,'[15]EvaluaciónRiesgoCorrup (1)'!$F$11&lt;51,F17=1,H17=5),$H$23,IF(AND(M17&gt;0,'[15]EvaluaciónRiesgoCorrup (1)'!$F$11&lt;51,F17=1,H17=10),#REF!,IF(AND(M17&gt;0,'[15]EvaluaciónRiesgoCorrup (1)'!$F$11&lt;51,F17=1,H17=20),#REF!," ")))</f>
        <v xml:space="preserve"> </v>
      </c>
      <c r="BP17" s="26" t="str">
        <f>IF(AND(M17&gt;0,'[15]EvaluaciónRiesgoCorrup (1)'!$F$11&lt;51,F17=2,H17=5),$H$24,IF(AND(M17&gt;0,'[15]EvaluaciónRiesgoCorrup (1)'!$F$11&lt;51,F17=2,H17=10),#REF!,IF(AND(M17&gt;0,'[15]EvaluaciónRiesgoCorrup (1)'!$F$11&lt;51,F17=2,H17=20),#REF!," ")))</f>
        <v xml:space="preserve"> </v>
      </c>
      <c r="BQ17" s="26" t="str">
        <f>IF(AND(M17&gt;0,'[15]EvaluaciónRiesgoCorrup (1)'!$F$11&lt;51,F17=3,H17=5),$H$25,IF(AND(M17&gt;0,'[15]EvaluaciónRiesgoCorrup (1)'!$F$11&lt;51,F17=3,H17=10),#REF!,IF(AND(M17&gt;0,'[15]EvaluaciónRiesgoCorrup (1)'!$F$11&lt;51,F17=3,H17=20),#REF!," ")))</f>
        <v xml:space="preserve"> </v>
      </c>
      <c r="BR17" s="26" t="str">
        <f>IF(AND(M17&gt;0,'[15]EvaluaciónRiesgoCorrup (1)'!$F$11&lt;51,F17=4,H17=5),$H$26,IF(AND(M17&gt;0,'[15]EvaluaciónRiesgoCorrup (1)'!$F$11&lt;51,F17=4,H17=10),#REF!,IF(AND(M17&gt;0,'[15]EvaluaciónRiesgoCorrup (1)'!$F$11&lt;51,F17=4,H17=20),#REF!," ")))</f>
        <v xml:space="preserve"> </v>
      </c>
      <c r="BS17" s="26" t="str">
        <f>IF(AND(M17&gt;0,'[15]EvaluaciónRiesgoCorrup (1)'!$F$11&lt;51,F17=5,H17=5),$H$27,IF(AND(M17&gt;0,'[15]EvaluaciónRiesgoCorrup (1)'!$F$11&lt;51,F17=5,H17=10),#REF!,IF(AND(M17&gt;0,'[15]EvaluaciónRiesgoCorrup (1)'!$F$11&lt;51,F17=5,H17=20),#REF!," ")))</f>
        <v xml:space="preserve"> </v>
      </c>
    </row>
    <row r="18" spans="1:71" ht="230.25" customHeight="1" x14ac:dyDescent="0.25">
      <c r="A18" s="197" t="s">
        <v>132</v>
      </c>
      <c r="B18" s="198" t="s">
        <v>133</v>
      </c>
      <c r="C18" s="199" t="s">
        <v>134</v>
      </c>
      <c r="D18" s="200" t="s">
        <v>135</v>
      </c>
      <c r="E18" s="201" t="s">
        <v>81</v>
      </c>
      <c r="F18" s="202">
        <v>1</v>
      </c>
      <c r="G18" s="203" t="s">
        <v>83</v>
      </c>
      <c r="H18" s="204">
        <v>20</v>
      </c>
      <c r="I18" s="205" t="s">
        <v>84</v>
      </c>
      <c r="J18" s="207" t="s">
        <v>40</v>
      </c>
      <c r="K18" s="208" t="s">
        <v>136</v>
      </c>
      <c r="L18" s="614" t="s">
        <v>9</v>
      </c>
      <c r="M18" s="615"/>
      <c r="N18" s="209" t="s">
        <v>39</v>
      </c>
      <c r="O18" s="210" t="s">
        <v>85</v>
      </c>
      <c r="P18" s="211" t="s">
        <v>137</v>
      </c>
      <c r="Q18" s="212" t="s">
        <v>138</v>
      </c>
      <c r="R18" s="213" t="s">
        <v>155</v>
      </c>
      <c r="S18" s="458"/>
      <c r="T18" s="536"/>
      <c r="U18" s="347" t="s">
        <v>213</v>
      </c>
      <c r="V18" s="434"/>
      <c r="W18" s="536"/>
      <c r="X18" s="424"/>
      <c r="Y18" s="26"/>
      <c r="Z18" s="26"/>
      <c r="AA18" s="26"/>
      <c r="AB18" s="26" t="str">
        <f>IF(AND(F18=4,H18=5),$H$26,IF(AND(F18=4,H18=10),#REF!,IF(AND(F18=4,H18=20),#REF!," ")))</f>
        <v xml:space="preserve"> </v>
      </c>
      <c r="AC18" s="26" t="str">
        <f>IF(AND(F18=5,H18=5),$H$27,IF(AND(F18=5,H18=10),#REF!,IF(AND(F18=5,H18=20),#REF!," ")))</f>
        <v xml:space="preserve"> </v>
      </c>
      <c r="AF18" s="26" t="e">
        <f>IF(AND(L18&gt;0,'[15]EvaluaciónRiesgoCorrup (1)'!$F$11&gt;75,F18=1,H18=5),$H$23,IF(AND(L18&gt;0,'[15]EvaluaciónRiesgoCorrup (1)'!$F$11&gt;75,F18=1,H18=10),#REF!,IF(AND(L18&gt;0,'[15]EvaluaciónRiesgoCorrup (1)'!$F$11&gt;75,F18=1,H18=20),#REF!," ")))</f>
        <v>#REF!</v>
      </c>
      <c r="AG18" s="26" t="str">
        <f>IF(AND(L18&gt;0,'[15]EvaluaciónRiesgoCorrup (1)'!$F$11&gt;75,F18=2,H18=5),$H$23,IF(AND(L18&gt;0,'[15]EvaluaciónRiesgoCorrup (1)'!$F$11&gt;75,F18=2,H18=10),#REF!,IF(AND(L18&gt;0,'[15]EvaluaciónRiesgoCorrup (1)'!$F$11&gt;75,F18=2,H18=20),#REF!," ")))</f>
        <v xml:space="preserve"> </v>
      </c>
      <c r="AH18" s="26" t="str">
        <f>IF(AND(L18&gt;0,'[15]EvaluaciónRiesgoCorrup (1)'!$F$11&gt;75,F18=3,H18=5),$H$23,IF(AND(L18&gt;0,'[15]EvaluaciónRiesgoCorrup (1)'!$F$11&gt;75,F18=3,H18=10),#REF!,IF(AND(L18&gt;0,'[15]EvaluaciónRiesgoCorrup (1)'!$F$11&gt;75,F18=3,H18=20),#REF!," ")))</f>
        <v xml:space="preserve"> </v>
      </c>
      <c r="AI18" s="26" t="str">
        <f>IF(AND(L18&gt;0,'[15]EvaluaciónRiesgoCorrup (1)'!$F$11&gt;75,F18=4,H18=5),$H$24,IF(AND(L18&gt;0,'[15]EvaluaciónRiesgoCorrup (1)'!$F$11&gt;75,F18=4,H18=10),#REF!,IF(AND(L18&gt;0,'[15]EvaluaciónRiesgoCorrup (1)'!$F$11&gt;75,F18=4,H18=20),#REF!," ")))</f>
        <v xml:space="preserve"> </v>
      </c>
      <c r="AJ18" s="26" t="str">
        <f>IF(AND(L18&gt;0,'[15]EvaluaciónRiesgoCorrup (1)'!$F$11&gt;75,F18=5,H18=5),$H$25,IF(AND(L18&gt;0,'[15]EvaluaciónRiesgoCorrup (1)'!$F$11&gt;75,F18=5,H18=10),#REF!,IF(AND(L18&gt;0,'[15]EvaluaciónRiesgoCorrup (1)'!$F$11&gt;75,F18=5,H18=20),#REF!," ")))</f>
        <v xml:space="preserve"> </v>
      </c>
      <c r="AL18" s="26" t="str">
        <f>IF(AND(L18&gt;0,'[15]EvaluaciónRiesgoCorrup (1)'!$F$11&gt;50,'[15]EvaluaciónRiesgoCorrup (1)'!$F$11&lt;76,F18=1,H18=5),$H$23,IF(AND(L18&gt;0,'[15]EvaluaciónRiesgoCorrup (1)'!$F$11&gt;50,'[15]EvaluaciónRiesgoCorrup (1)'!$F$11&lt;76,F18=1,H18=10),#REF!,IF(AND(L18&gt;0,'[15]EvaluaciónRiesgoCorrup (1)'!$F$11&gt;50,'[15]EvaluaciónRiesgoCorrup (1)'!$F$11&lt;76,F18=1,H18=20),#REF!," ")))</f>
        <v xml:space="preserve"> </v>
      </c>
      <c r="AM18" s="26" t="str">
        <f>IF(AND(L18&gt;0,'[15]EvaluaciónRiesgoCorrup (1)'!$F$11&gt;50,'[15]EvaluaciónRiesgoCorrup (1)'!$F$11&lt;76,F18=2,H18=5),$H$23,IF(AND(L18&gt;0,'[15]EvaluaciónRiesgoCorrup (1)'!$F$11&gt;50,'[15]EvaluaciónRiesgoCorrup (1)'!$F$11&lt;76,F18=2,H18=10),#REF!,IF(AND(L18&gt;0,'[15]EvaluaciónRiesgoCorrup (1)'!$F$11&gt;50,'[15]EvaluaciónRiesgoCorrup (1)'!$F$11&lt;76,F18=2,H18=20),#REF!," ")))</f>
        <v xml:space="preserve"> </v>
      </c>
      <c r="AN18" s="26" t="str">
        <f>IF(AND(L18&gt;0,'[15]EvaluaciónRiesgoCorrup (1)'!$F$11&gt;50,'[15]EvaluaciónRiesgoCorrup (1)'!$F$11&lt;76,F18=3,H18=5),$H$24,IF(AND(L18&gt;0,'[15]EvaluaciónRiesgoCorrup (1)'!$F$11&gt;50,'[15]EvaluaciónRiesgoCorrup (1)'!$F$11&lt;76,F18=3,H18=10),#REF!,IF(AND(L18&gt;0,'[15]EvaluaciónRiesgoCorrup (1)'!$F$11&gt;50,'[15]EvaluaciónRiesgoCorrup (1)'!$F$11&lt;76,F18=3,H18=20),#REF!," ")))</f>
        <v xml:space="preserve"> </v>
      </c>
      <c r="AO18" s="26" t="str">
        <f>IF(AND(L18&gt;0,'[15]EvaluaciónRiesgoCorrup (1)'!$F$11&gt;50,'[15]EvaluaciónRiesgoCorrup (1)'!$F$11&lt;76,F18=4,H18=5),$H$25,IF(AND(L18&gt;0,'[15]EvaluaciónRiesgoCorrup (1)'!$F$11&gt;50,'[15]EvaluaciónRiesgoCorrup (1)'!$F$11&lt;76,F18=4,H18=10),#REF!,IF(AND(L18&gt;0,'[15]EvaluaciónRiesgoCorrup (1)'!$F$11&gt;50,'[15]EvaluaciónRiesgoCorrup (1)'!$F$11&lt;76,F18=4,H18=20),#REF!," ")))</f>
        <v xml:space="preserve"> </v>
      </c>
      <c r="AP18" s="26" t="str">
        <f>IF(AND(L18&gt;0,'[15]EvaluaciónRiesgoCorrup (1)'!$F$11&gt;50,'[15]EvaluaciónRiesgoCorrup (1)'!$F$11&lt;76,F18=5,H18=5),$H$26,IF(AND(L18&gt;0,'[15]EvaluaciónRiesgoCorrup (1)'!$F$11&gt;50,'[15]EvaluaciónRiesgoCorrup (1)'!$F$11&lt;76,F18=5,H18=10),#REF!,IF(AND(L18&gt;0,'[15]EvaluaciónRiesgoCorrup (1)'!$F$11&gt;50,'[15]EvaluaciónRiesgoCorrup (1)'!$F$11&lt;76,F18=5,H18=20),#REF!," ")))</f>
        <v xml:space="preserve"> </v>
      </c>
      <c r="AS18" s="26" t="str">
        <f>IF(AND(L18&gt;0,'[15]EvaluaciónRiesgoCorrup (1)'!$F$11&lt;51,F18=1,H18=5),$H$23,IF(AND(L18&gt;0,'[15]EvaluaciónRiesgoCorrup (1)'!$F$11&lt;51,F18=1,H18=10),#REF!,IF(AND(L18&gt;0,'[15]EvaluaciónRiesgoCorrup (1)'!$F$11&lt;51,F18=1,H18=20),#REF!," ")))</f>
        <v xml:space="preserve"> </v>
      </c>
      <c r="AT18" s="26" t="str">
        <f>IF(AND(L18&gt;0,'[15]EvaluaciónRiesgoCorrup (1)'!$F$11&lt;51,F18=2,H18=5),$H$24,IF(AND(L18&gt;0,'[15]EvaluaciónRiesgoCorrup (1)'!$F$11&lt;51,F18=2,H18=10),#REF!,IF(AND(L18&gt;0,'[15]EvaluaciónRiesgoCorrup (1)'!$F$11&lt;51,F18=2,H18=20),#REF!," ")))</f>
        <v xml:space="preserve"> </v>
      </c>
      <c r="AU18" s="26" t="str">
        <f>IF(AND(L18&gt;0,'[15]EvaluaciónRiesgoCorrup (1)'!$F$11&lt;51,F18=3,H18=5),$H$25,IF(AND(L18&gt;0,'[15]EvaluaciónRiesgoCorrup (1)'!$F$11&lt;51,F18=3,H18=10),#REF!,IF(AND(L18&gt;0,'[15]EvaluaciónRiesgoCorrup (1)'!$F$11&lt;51,F18=3,H18=20),#REF!," ")))</f>
        <v xml:space="preserve"> </v>
      </c>
      <c r="AV18" s="26" t="str">
        <f>IF(AND(L18&gt;0,'[15]EvaluaciónRiesgoCorrup (1)'!$F$11&lt;51,F18=4,H18=5),$H$26,IF(AND(L18&gt;0,'[15]EvaluaciónRiesgoCorrup (1)'!$F$11&lt;51,F18=4,H18=10),#REF!,IF(AND(L18&gt;0,'[15]EvaluaciónRiesgoCorrup (1)'!$F$11&lt;51,F18=4,H18=20),#REF!," ")))</f>
        <v xml:space="preserve"> </v>
      </c>
      <c r="AW18" s="26" t="str">
        <f>IF(AND(L18&gt;0,'[15]EvaluaciónRiesgoCorrup (1)'!$F$11&lt;51,F18=5,H18=5),$H$27,IF(AND(L18&gt;0,'[15]EvaluaciónRiesgoCorrup (1)'!$F$11&lt;51,F18=5,H18=10),#REF!,IF(AND(L18&gt;0,'[15]EvaluaciónRiesgoCorrup (1)'!$F$11&lt;51,F18=5,H18=20),#REF!," ")))</f>
        <v xml:space="preserve"> </v>
      </c>
      <c r="BA18" s="26" t="str">
        <f>IF(AND(M18&gt;0,'[15]EvaluaciónRiesgoCorrup (1)'!$F$11&gt;75,F18=1,H18=5),$H$23,IF(AND(M18&gt;0,'[15]EvaluaciónRiesgoCorrup (1)'!$F$11&gt;75,F18=1,H18=10),$H$23,IF(AND(M18&gt;0,'[15]EvaluaciónRiesgoCorrup (1)'!$F$11&gt;75,F18=1,H18=20),$H$23," ")))</f>
        <v xml:space="preserve"> </v>
      </c>
      <c r="BB18" s="26" t="str">
        <f>IF(AND(M18&gt;0,'[15]EvaluaciónRiesgoCorrup (1)'!$F$11&gt;75,F18=2,H18=5),$H$24,IF(AND(M18&gt;0,'[15]EvaluaciónRiesgoCorrup (1)'!$F$11&gt;75,F18=2,H18=10),$H$24,IF(AND(M18&gt;0,'[15]EvaluaciónRiesgoCorrup (1)'!$F$11&gt;75,F18=2,H18=20),$H$24," ")))</f>
        <v xml:space="preserve"> </v>
      </c>
      <c r="BC18" s="26" t="str">
        <f>IF(AND(M18&gt;0,'[15]EvaluaciónRiesgoCorrup (1)'!$F$11&gt;75,F18=3,H18=5),$H$25,IF(AND(M18&gt;0,'[15]EvaluaciónRiesgoCorrup (1)'!$F$11&gt;75,F18=3,H18=10),$H$25,IF(AND(M18&gt;0,'[15]EvaluaciónRiesgoCorrup (1)'!$F$11&gt;75,F18=3,H18=20),$H$25," ")))</f>
        <v xml:space="preserve"> </v>
      </c>
      <c r="BD18" s="26" t="str">
        <f>IF(AND(M18&gt;0,'[15]EvaluaciónRiesgoCorrup (1)'!$F$11&gt;75,F18=4,H18=5),$H$26,IF(AND(M18&gt;0,'[15]EvaluaciónRiesgoCorrup (1)'!$F$11&gt;75,F18=4,H18=10),$H$26,IF(AND(M18&gt;0,'[15]EvaluaciónRiesgoCorrup (1)'!$F$11&gt;75,F18=4,H18=20),$H$26," ")))</f>
        <v xml:space="preserve"> </v>
      </c>
      <c r="BE18" s="26" t="str">
        <f>IF(AND(M18&gt;0,'[15]EvaluaciónRiesgoCorrup (1)'!$F$11&gt;75,F18=5,H18=5),$H$27,IF(AND(M18&gt;0,'[15]EvaluaciónRiesgoCorrup (1)'!$F$11&gt;75,F18=5,H18=10),$H$27,IF(AND(M18&gt;0,'[15]EvaluaciónRiesgoCorrup (1)'!$F$11&gt;75,F18=5,H18=20),$H$27," ")))</f>
        <v xml:space="preserve"> </v>
      </c>
      <c r="BH18" s="26" t="str">
        <f>IF(AND(M18&gt;0,'[15]EvaluaciónRiesgoCorrup (1)'!$F$11&gt;50,'[15]EvaluaciónRiesgoCorrup (1)'!$F$11&lt;76,F18=1,H18=5),$H$23,IF(AND(M18&gt;0,'[15]EvaluaciónRiesgoCorrup (1)'!$F$11&gt;50,'[15]EvaluaciónRiesgoCorrup (1)'!$F$11&lt;76,F18=1,H18=10),$H$23,IF(AND(M18&gt;0,'[15]EvaluaciónRiesgoCorrup (1)'!$F$11&gt;50,'[15]EvaluaciónRiesgoCorrup (1)'!$F$11&lt;76,F18=1,H18=20),#REF!," ")))</f>
        <v xml:space="preserve"> </v>
      </c>
      <c r="BI18" s="26" t="str">
        <f>IF(AND(M18&gt;0,'[15]EvaluaciónRiesgoCorrup (1)'!$F$11&gt;50,'[15]EvaluaciónRiesgoCorrup (1)'!$F$11&lt;76,F18=2,H18=5),$H$24,IF(AND(M18&gt;0,'[15]EvaluaciónRiesgoCorrup (1)'!$F$11&gt;50,'[15]EvaluaciónRiesgoCorrup (1)'!$F$11&lt;76,F18=2,H18=10),$H$24,IF(AND(M18&gt;0,'[15]EvaluaciónRiesgoCorrup (1)'!$F$11&gt;50,'[15]EvaluaciónRiesgoCorrup (1)'!$F$11&lt;76,F18=2,H18=20),#REF!," ")))</f>
        <v xml:space="preserve"> </v>
      </c>
      <c r="BJ18" s="26" t="str">
        <f>IF(AND(M18&gt;0,'[15]EvaluaciónRiesgoCorrup (1)'!$F$11&gt;50,'[15]EvaluaciónRiesgoCorrup (1)'!$F$11&lt;76,F18=3,H18=5),$H$25,IF(AND(M18&gt;0,'[15]EvaluaciónRiesgoCorrup (1)'!$F$11&gt;50,'[15]EvaluaciónRiesgoCorrup (1)'!$F$11&lt;76,F18=3,H18=10),$H$25,IF(AND(M18&gt;0,'[15]EvaluaciónRiesgoCorrup (1)'!$F$11&gt;50,'[15]EvaluaciónRiesgoCorrup (1)'!$F$11&lt;76,F18=3,H18=20),#REF!," ")))</f>
        <v xml:space="preserve"> </v>
      </c>
      <c r="BK18" s="26" t="str">
        <f>IF(AND(M18&gt;0,'[15]EvaluaciónRiesgoCorrup (1)'!$F$11&gt;50,'[15]EvaluaciónRiesgoCorrup (1)'!$F$11&lt;76,F18=4,H18=5),$H$26,IF(AND(M18&gt;0,'[15]EvaluaciónRiesgoCorrup (1)'!$F$11&gt;50,'[15]EvaluaciónRiesgoCorrup (1)'!$F$11&lt;76,F18=4,H18=10),$H$26,IF(AND(M18&gt;0,'[15]EvaluaciónRiesgoCorrup (1)'!$F$11&gt;50,'[15]EvaluaciónRiesgoCorrup (1)'!$F$11&lt;76,F18=4,H18=20),#REF!," ")))</f>
        <v xml:space="preserve"> </v>
      </c>
      <c r="BL18" s="26" t="str">
        <f>IF(AND(M18&gt;0,'[15]EvaluaciónRiesgoCorrup (1)'!$F$11&gt;50,'[15]EvaluaciónRiesgoCorrup (1)'!$F$11&lt;76,F18=5,H18=5),$H$27,IF(AND(M18&gt;0,'[15]EvaluaciónRiesgoCorrup (1)'!$F$11&gt;50,'[15]EvaluaciónRiesgoCorrup (1)'!$F$11&lt;76,F18=5,H18=10),$H$27,IF(AND(M18&gt;0,'[15]EvaluaciónRiesgoCorrup (1)'!$F$11&gt;50,'[15]EvaluaciónRiesgoCorrup (1)'!$F$11&lt;76,F18=5,H18=20),#REF!," ")))</f>
        <v xml:space="preserve"> </v>
      </c>
      <c r="BO18" s="26" t="str">
        <f>IF(AND(M18&gt;0,'[15]EvaluaciónRiesgoCorrup (1)'!$F$11&lt;51,F18=1,H18=5),$H$23,IF(AND(M18&gt;0,'[15]EvaluaciónRiesgoCorrup (1)'!$F$11&lt;51,F18=1,H18=10),#REF!,IF(AND(M18&gt;0,'[15]EvaluaciónRiesgoCorrup (1)'!$F$11&lt;51,F18=1,H18=20),#REF!," ")))</f>
        <v xml:space="preserve"> </v>
      </c>
      <c r="BP18" s="26" t="str">
        <f>IF(AND(M18&gt;0,'[15]EvaluaciónRiesgoCorrup (1)'!$F$11&lt;51,F18=2,H18=5),$H$24,IF(AND(M18&gt;0,'[15]EvaluaciónRiesgoCorrup (1)'!$F$11&lt;51,F18=2,H18=10),#REF!,IF(AND(M18&gt;0,'[15]EvaluaciónRiesgoCorrup (1)'!$F$11&lt;51,F18=2,H18=20),#REF!," ")))</f>
        <v xml:space="preserve"> </v>
      </c>
      <c r="BQ18" s="26" t="str">
        <f>IF(AND(M18&gt;0,'[15]EvaluaciónRiesgoCorrup (1)'!$F$11&lt;51,F18=3,H18=5),$H$25,IF(AND(M18&gt;0,'[15]EvaluaciónRiesgoCorrup (1)'!$F$11&lt;51,F18=3,H18=10),#REF!,IF(AND(M18&gt;0,'[15]EvaluaciónRiesgoCorrup (1)'!$F$11&lt;51,F18=3,H18=20),#REF!," ")))</f>
        <v xml:space="preserve"> </v>
      </c>
      <c r="BR18" s="26" t="str">
        <f>IF(AND(M18&gt;0,'[15]EvaluaciónRiesgoCorrup (1)'!$F$11&lt;51,F18=4,H18=5),$H$26,IF(AND(M18&gt;0,'[15]EvaluaciónRiesgoCorrup (1)'!$F$11&lt;51,F18=4,H18=10),#REF!,IF(AND(M18&gt;0,'[15]EvaluaciónRiesgoCorrup (1)'!$F$11&lt;51,F18=4,H18=20),#REF!," ")))</f>
        <v xml:space="preserve"> </v>
      </c>
      <c r="BS18" s="26" t="str">
        <f>IF(AND(M18&gt;0,'[15]EvaluaciónRiesgoCorrup (1)'!$F$11&lt;51,F18=5,H18=5),$H$27,IF(AND(M18&gt;0,'[15]EvaluaciónRiesgoCorrup (1)'!$F$11&lt;51,F18=5,H18=10),#REF!,IF(AND(M18&gt;0,'[15]EvaluaciónRiesgoCorrup (1)'!$F$11&lt;51,F18=5,H18=20),#REF!," ")))</f>
        <v xml:space="preserve"> </v>
      </c>
    </row>
    <row r="19" spans="1:71" ht="173.25" customHeight="1" x14ac:dyDescent="0.25">
      <c r="A19" s="125"/>
      <c r="B19" s="126"/>
      <c r="C19" s="126"/>
      <c r="D19" s="126"/>
      <c r="E19" s="126"/>
      <c r="F19" s="178"/>
      <c r="G19" s="178"/>
      <c r="H19" s="178"/>
      <c r="I19" s="178"/>
      <c r="J19" s="178"/>
      <c r="K19" s="178"/>
      <c r="L19" s="178"/>
      <c r="M19" s="125"/>
      <c r="N19" s="125"/>
      <c r="O19" s="125"/>
      <c r="P19" s="125"/>
      <c r="Q19" s="125"/>
      <c r="R19" s="125"/>
      <c r="S19" s="178"/>
      <c r="T19" s="125"/>
      <c r="U19" s="125"/>
      <c r="V19" s="455"/>
      <c r="W19" s="442"/>
    </row>
    <row r="20" spans="1:71" ht="188.25" customHeight="1" x14ac:dyDescent="0.25">
      <c r="A20" s="125"/>
      <c r="B20" s="126"/>
      <c r="C20" s="126"/>
      <c r="D20" s="126"/>
      <c r="E20" s="126"/>
      <c r="F20" s="178"/>
      <c r="G20" s="178"/>
      <c r="H20" s="214"/>
      <c r="I20" s="214"/>
      <c r="J20" s="214"/>
      <c r="K20" s="214"/>
      <c r="L20" s="178"/>
      <c r="M20" s="125"/>
      <c r="N20" s="125"/>
      <c r="O20" s="125"/>
      <c r="P20" s="125"/>
      <c r="Q20" s="125"/>
      <c r="R20" s="125"/>
      <c r="S20" s="178"/>
      <c r="T20" s="125"/>
      <c r="U20" s="125"/>
      <c r="V20" s="125"/>
      <c r="W20" s="442"/>
    </row>
    <row r="21" spans="1:71" ht="96" customHeight="1" thickBot="1" x14ac:dyDescent="0.3">
      <c r="A21" s="6"/>
      <c r="B21" s="31"/>
      <c r="C21" s="139"/>
      <c r="D21" s="31"/>
      <c r="E21" s="139"/>
      <c r="F21" s="612" t="s">
        <v>25</v>
      </c>
      <c r="G21" s="77"/>
      <c r="H21" s="613" t="s">
        <v>9</v>
      </c>
      <c r="I21" s="613"/>
      <c r="J21" s="613"/>
      <c r="K21" s="613"/>
      <c r="L21" s="2"/>
      <c r="Q21" s="5"/>
      <c r="S21" s="2"/>
    </row>
    <row r="22" spans="1:71" ht="32.25" customHeight="1" thickBot="1" x14ac:dyDescent="0.3">
      <c r="A22" s="5"/>
      <c r="B22" s="32" t="s">
        <v>33</v>
      </c>
      <c r="C22" s="127"/>
      <c r="D22" s="32"/>
      <c r="E22" s="127"/>
      <c r="F22" s="545"/>
      <c r="G22" s="147"/>
      <c r="H22" s="33" t="s">
        <v>34</v>
      </c>
      <c r="I22" s="128"/>
      <c r="J22" s="128"/>
      <c r="K22" s="128"/>
      <c r="L22" s="2"/>
      <c r="Q22" s="5"/>
      <c r="S22" s="2"/>
    </row>
    <row r="23" spans="1:71" ht="15.75" thickBot="1" x14ac:dyDescent="0.3">
      <c r="B23" s="5" t="s">
        <v>37</v>
      </c>
      <c r="C23" s="118"/>
      <c r="F23" s="35" t="s">
        <v>38</v>
      </c>
      <c r="G23" s="129"/>
      <c r="H23" s="36" t="s">
        <v>39</v>
      </c>
      <c r="I23" s="130"/>
      <c r="J23" s="130"/>
      <c r="K23" s="130"/>
      <c r="L23" s="2"/>
      <c r="Q23" s="5"/>
      <c r="S23" s="2"/>
    </row>
    <row r="24" spans="1:71" ht="15.75" thickBot="1" x14ac:dyDescent="0.3">
      <c r="F24" s="35" t="s">
        <v>41</v>
      </c>
      <c r="G24" s="129"/>
      <c r="H24" s="36" t="s">
        <v>39</v>
      </c>
      <c r="I24" s="130"/>
      <c r="J24" s="130"/>
      <c r="K24" s="130"/>
      <c r="L24" s="2"/>
      <c r="Q24" s="5"/>
      <c r="S24" s="2"/>
    </row>
    <row r="25" spans="1:71" ht="15.75" thickBot="1" x14ac:dyDescent="0.3">
      <c r="F25" s="35" t="s">
        <v>43</v>
      </c>
      <c r="G25" s="129"/>
      <c r="H25" s="37" t="s">
        <v>40</v>
      </c>
      <c r="I25" s="131"/>
      <c r="J25" s="131"/>
      <c r="K25" s="131"/>
      <c r="L25" s="2"/>
      <c r="Q25" s="5"/>
      <c r="S25" s="2"/>
    </row>
    <row r="26" spans="1:71" ht="15.75" thickBot="1" x14ac:dyDescent="0.3">
      <c r="F26" s="35" t="s">
        <v>45</v>
      </c>
      <c r="G26" s="129"/>
      <c r="H26" s="37" t="s">
        <v>40</v>
      </c>
      <c r="I26" s="131"/>
      <c r="J26" s="131"/>
      <c r="K26" s="131"/>
      <c r="L26" s="2"/>
      <c r="Q26" s="5"/>
      <c r="S26" s="2"/>
    </row>
    <row r="27" spans="1:71" ht="15.75" thickBot="1" x14ac:dyDescent="0.3">
      <c r="F27" s="35" t="s">
        <v>46</v>
      </c>
      <c r="G27" s="129"/>
      <c r="H27" s="37" t="s">
        <v>40</v>
      </c>
      <c r="I27" s="131"/>
      <c r="J27" s="131"/>
      <c r="K27" s="131"/>
      <c r="L27" s="2"/>
      <c r="Q27" s="5"/>
      <c r="S27" s="2"/>
    </row>
    <row r="28" spans="1:71" x14ac:dyDescent="0.25">
      <c r="F28" s="2"/>
      <c r="G28" s="115"/>
      <c r="H28" s="2"/>
      <c r="I28" s="115"/>
      <c r="J28" s="115"/>
      <c r="K28" s="115"/>
      <c r="M28" s="5"/>
    </row>
    <row r="29" spans="1:71" ht="15" x14ac:dyDescent="0.25">
      <c r="F29" s="40" t="s">
        <v>47</v>
      </c>
      <c r="G29" s="132"/>
      <c r="H29" s="2"/>
      <c r="I29" s="115"/>
      <c r="J29" s="115"/>
      <c r="K29" s="115"/>
      <c r="M29" s="5"/>
      <c r="N29" s="5"/>
      <c r="O29" s="118"/>
      <c r="P29" s="5"/>
    </row>
    <row r="30" spans="1:71" ht="15" x14ac:dyDescent="0.25">
      <c r="F30" s="41" t="s">
        <v>48</v>
      </c>
      <c r="G30" s="133"/>
      <c r="H30" s="2"/>
      <c r="I30" s="115"/>
      <c r="J30" s="115"/>
      <c r="K30" s="115"/>
      <c r="M30" s="5"/>
      <c r="N30" s="5"/>
      <c r="O30" s="118"/>
      <c r="P30" s="5"/>
    </row>
    <row r="31" spans="1:71" ht="15" x14ac:dyDescent="0.25">
      <c r="F31" s="42" t="s">
        <v>49</v>
      </c>
      <c r="G31" s="134"/>
      <c r="H31" s="2"/>
      <c r="I31" s="115"/>
      <c r="J31" s="115"/>
      <c r="K31" s="115"/>
      <c r="M31" s="5"/>
      <c r="N31" s="5"/>
      <c r="O31" s="118"/>
      <c r="P31" s="5"/>
    </row>
    <row r="32" spans="1:71" ht="15" x14ac:dyDescent="0.25">
      <c r="F32" s="43" t="s">
        <v>50</v>
      </c>
      <c r="G32" s="135"/>
      <c r="H32" s="2"/>
      <c r="I32" s="115"/>
      <c r="J32" s="115"/>
      <c r="K32" s="115"/>
      <c r="M32" s="5"/>
      <c r="N32" s="5"/>
      <c r="O32" s="118"/>
      <c r="P32" s="5"/>
    </row>
  </sheetData>
  <mergeCells count="35">
    <mergeCell ref="T15:T16"/>
    <mergeCell ref="U15:U16"/>
    <mergeCell ref="V15:V16"/>
    <mergeCell ref="F21:F22"/>
    <mergeCell ref="H21:K21"/>
    <mergeCell ref="P15:R15"/>
    <mergeCell ref="L18:M18"/>
    <mergeCell ref="M17:N17"/>
    <mergeCell ref="S15:S16"/>
    <mergeCell ref="A12:D12"/>
    <mergeCell ref="F12:V12"/>
    <mergeCell ref="AH13:AZ13"/>
    <mergeCell ref="BB13:BU13"/>
    <mergeCell ref="A14:D14"/>
    <mergeCell ref="F14:H14"/>
    <mergeCell ref="L14:N14"/>
    <mergeCell ref="P14:R14"/>
    <mergeCell ref="S14:V14"/>
    <mergeCell ref="A15:A16"/>
    <mergeCell ref="B15:B16"/>
    <mergeCell ref="D15:D16"/>
    <mergeCell ref="F15:H15"/>
    <mergeCell ref="L15:N15"/>
    <mergeCell ref="A6:D6"/>
    <mergeCell ref="F6:V6"/>
    <mergeCell ref="A8:D8"/>
    <mergeCell ref="F8:V8"/>
    <mergeCell ref="A10:D10"/>
    <mergeCell ref="F10:V10"/>
    <mergeCell ref="A1:D4"/>
    <mergeCell ref="F1:T4"/>
    <mergeCell ref="U1:V1"/>
    <mergeCell ref="U4:V4"/>
    <mergeCell ref="U2:X2"/>
    <mergeCell ref="U3:X3"/>
  </mergeCells>
  <conditionalFormatting sqref="N17:O18">
    <cfRule type="containsText" dxfId="55" priority="1" operator="containsText" text="E">
      <formula>NOT(ISERROR(SEARCH("E",N17)))</formula>
    </cfRule>
    <cfRule type="containsText" dxfId="54" priority="2" operator="containsText" text="M">
      <formula>NOT(ISERROR(SEARCH("M",N17)))</formula>
    </cfRule>
    <cfRule type="containsText" dxfId="53" priority="3" operator="containsText" text="A">
      <formula>NOT(ISERROR(SEARCH("A",N17)))</formula>
    </cfRule>
    <cfRule type="containsText" dxfId="52" priority="4" operator="containsText" text="B">
      <formula>NOT(ISERROR(SEARCH("B",N17)))</formula>
    </cfRule>
  </conditionalFormatting>
  <pageMargins left="0.7" right="0.7" top="0.75" bottom="0.75" header="0.3" footer="0.3"/>
  <pageSetup scale="1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38"/>
  <sheetViews>
    <sheetView showGridLines="0" view="pageBreakPreview" topLeftCell="A12" zoomScale="98" zoomScaleNormal="85" zoomScaleSheetLayoutView="98" workbookViewId="0">
      <selection activeCell="V17" sqref="V17"/>
    </sheetView>
  </sheetViews>
  <sheetFormatPr baseColWidth="10" defaultColWidth="11.42578125" defaultRowHeight="14.25" x14ac:dyDescent="0.25"/>
  <cols>
    <col min="1" max="1" width="41.28515625" style="2" customWidth="1"/>
    <col min="2" max="5" width="40.42578125" style="2" customWidth="1"/>
    <col min="6" max="7" width="27" style="5" customWidth="1"/>
    <col min="8" max="9" width="19" style="5" customWidth="1"/>
    <col min="10" max="11" width="26.7109375" style="5" customWidth="1"/>
    <col min="12" max="12" width="17.7109375" style="5" customWidth="1"/>
    <col min="13" max="14" width="28" style="2" customWidth="1"/>
    <col min="15" max="15" width="19.85546875" style="2" customWidth="1"/>
    <col min="16" max="16" width="42.7109375" style="2" customWidth="1"/>
    <col min="17" max="17" width="26.85546875" style="2" customWidth="1"/>
    <col min="18" max="18" width="36.42578125" style="5" customWidth="1"/>
    <col min="19" max="19" width="82.140625" style="2" customWidth="1"/>
    <col min="20" max="20" width="32.28515625" style="2" customWidth="1"/>
    <col min="21" max="21" width="46" style="2" customWidth="1"/>
    <col min="22" max="22" width="28.140625" style="441" customWidth="1"/>
    <col min="23" max="23" width="30.42578125" style="2" customWidth="1"/>
    <col min="24" max="24" width="36" style="2" hidden="1" customWidth="1"/>
    <col min="25" max="25" width="0" style="2" hidden="1" customWidth="1"/>
    <col min="26" max="72" width="11.42578125" style="2" hidden="1" customWidth="1"/>
    <col min="73" max="73" width="11.42578125" style="2" customWidth="1"/>
    <col min="74" max="16384" width="11.42578125" style="2"/>
  </cols>
  <sheetData>
    <row r="1" spans="1:72" ht="21" customHeight="1" x14ac:dyDescent="0.25">
      <c r="A1" s="573"/>
      <c r="B1" s="573"/>
      <c r="C1" s="573"/>
      <c r="D1" s="573"/>
      <c r="E1" s="72"/>
      <c r="F1" s="574" t="s">
        <v>0</v>
      </c>
      <c r="G1" s="575"/>
      <c r="H1" s="575"/>
      <c r="I1" s="575"/>
      <c r="J1" s="575"/>
      <c r="K1" s="575"/>
      <c r="L1" s="575"/>
      <c r="M1" s="575"/>
      <c r="N1" s="575"/>
      <c r="O1" s="575"/>
      <c r="P1" s="575"/>
      <c r="Q1" s="575"/>
      <c r="R1" s="575"/>
      <c r="S1" s="576"/>
      <c r="T1" s="583" t="s">
        <v>223</v>
      </c>
      <c r="U1" s="584"/>
      <c r="V1" s="450"/>
      <c r="W1" s="1"/>
      <c r="X1" s="1"/>
    </row>
    <row r="2" spans="1:72" ht="22.5" customHeight="1" x14ac:dyDescent="0.25">
      <c r="A2" s="573"/>
      <c r="B2" s="573"/>
      <c r="C2" s="573"/>
      <c r="D2" s="573"/>
      <c r="E2" s="73"/>
      <c r="F2" s="577"/>
      <c r="G2" s="578"/>
      <c r="H2" s="578"/>
      <c r="I2" s="578"/>
      <c r="J2" s="578"/>
      <c r="K2" s="578"/>
      <c r="L2" s="578"/>
      <c r="M2" s="578"/>
      <c r="N2" s="578"/>
      <c r="O2" s="578"/>
      <c r="P2" s="578"/>
      <c r="Q2" s="578"/>
      <c r="R2" s="578"/>
      <c r="S2" s="579"/>
      <c r="T2" s="583" t="s">
        <v>149</v>
      </c>
      <c r="U2" s="584"/>
      <c r="V2" s="450"/>
      <c r="W2" s="1"/>
      <c r="X2" s="1"/>
    </row>
    <row r="3" spans="1:72" ht="21" customHeight="1" x14ac:dyDescent="0.25">
      <c r="A3" s="573"/>
      <c r="B3" s="573"/>
      <c r="C3" s="573"/>
      <c r="D3" s="573"/>
      <c r="E3" s="73"/>
      <c r="F3" s="577"/>
      <c r="G3" s="578"/>
      <c r="H3" s="578"/>
      <c r="I3" s="578"/>
      <c r="J3" s="578"/>
      <c r="K3" s="578"/>
      <c r="L3" s="578"/>
      <c r="M3" s="578"/>
      <c r="N3" s="578"/>
      <c r="O3" s="578"/>
      <c r="P3" s="578"/>
      <c r="Q3" s="578"/>
      <c r="R3" s="578"/>
      <c r="S3" s="579"/>
      <c r="T3" s="583" t="s">
        <v>150</v>
      </c>
      <c r="U3" s="584"/>
      <c r="V3" s="450"/>
      <c r="W3" s="1"/>
      <c r="X3" s="1"/>
    </row>
    <row r="4" spans="1:72" ht="20.25" customHeight="1" x14ac:dyDescent="0.25">
      <c r="A4" s="573"/>
      <c r="B4" s="573"/>
      <c r="C4" s="573"/>
      <c r="D4" s="573"/>
      <c r="E4" s="74"/>
      <c r="F4" s="580"/>
      <c r="G4" s="581"/>
      <c r="H4" s="581"/>
      <c r="I4" s="581"/>
      <c r="J4" s="581"/>
      <c r="K4" s="581"/>
      <c r="L4" s="581"/>
      <c r="M4" s="581"/>
      <c r="N4" s="581"/>
      <c r="O4" s="581"/>
      <c r="P4" s="581"/>
      <c r="Q4" s="581"/>
      <c r="R4" s="581"/>
      <c r="S4" s="582"/>
      <c r="T4" s="583" t="s">
        <v>1</v>
      </c>
      <c r="U4" s="584"/>
      <c r="V4" s="450"/>
      <c r="W4" s="1"/>
      <c r="X4" s="1"/>
    </row>
    <row r="5" spans="1:72" ht="8.25" customHeight="1" x14ac:dyDescent="0.25">
      <c r="B5" s="3"/>
      <c r="C5" s="3"/>
      <c r="D5" s="3"/>
      <c r="E5" s="3"/>
      <c r="F5" s="4"/>
      <c r="G5" s="4"/>
      <c r="H5" s="4"/>
      <c r="I5" s="4"/>
      <c r="J5" s="4"/>
      <c r="K5" s="4"/>
      <c r="L5" s="4"/>
      <c r="M5" s="4"/>
      <c r="N5" s="4"/>
      <c r="O5" s="4"/>
      <c r="P5" s="4"/>
      <c r="W5" s="6"/>
      <c r="X5" s="6"/>
    </row>
    <row r="6" spans="1:72" ht="15" x14ac:dyDescent="0.25">
      <c r="A6" s="553" t="s">
        <v>2</v>
      </c>
      <c r="B6" s="553"/>
      <c r="C6" s="553"/>
      <c r="D6" s="553"/>
      <c r="E6" s="75"/>
      <c r="F6" s="567" t="str">
        <f>+[16]IdentRiesgo!B2</f>
        <v>GESTION DE RECURSOS INFORMATICOS Y TECNOLOGICOS</v>
      </c>
      <c r="G6" s="568"/>
      <c r="H6" s="568"/>
      <c r="I6" s="568"/>
      <c r="J6" s="568"/>
      <c r="K6" s="568"/>
      <c r="L6" s="568"/>
      <c r="M6" s="568"/>
      <c r="N6" s="568"/>
      <c r="O6" s="568"/>
      <c r="P6" s="568"/>
      <c r="Q6" s="568"/>
      <c r="R6" s="568"/>
      <c r="S6" s="568"/>
      <c r="T6" s="568"/>
      <c r="U6" s="569"/>
      <c r="V6" s="445"/>
      <c r="W6" s="6"/>
      <c r="X6" s="6"/>
    </row>
    <row r="7" spans="1:72" ht="6.75" customHeight="1" x14ac:dyDescent="0.25">
      <c r="B7" s="3"/>
      <c r="C7" s="3"/>
      <c r="D7" s="3"/>
      <c r="E7" s="3"/>
      <c r="F7" s="7"/>
      <c r="G7" s="7"/>
      <c r="H7" s="7"/>
      <c r="I7" s="7"/>
      <c r="J7" s="7"/>
      <c r="K7" s="7"/>
      <c r="L7" s="7"/>
      <c r="M7" s="7"/>
      <c r="N7" s="7"/>
      <c r="O7" s="7"/>
      <c r="P7" s="7"/>
      <c r="Q7" s="8"/>
      <c r="R7" s="8"/>
      <c r="S7" s="8"/>
      <c r="T7" s="8"/>
      <c r="U7" s="8"/>
      <c r="V7" s="444"/>
      <c r="W7" s="6"/>
      <c r="X7" s="6"/>
    </row>
    <row r="8" spans="1:72" ht="39.75" customHeight="1" x14ac:dyDescent="0.25">
      <c r="A8" s="553" t="s">
        <v>3</v>
      </c>
      <c r="B8" s="553"/>
      <c r="C8" s="553"/>
      <c r="D8" s="553"/>
      <c r="E8" s="75"/>
      <c r="F8" s="570" t="str">
        <f>+[16]IdentRiesgo!B3</f>
        <v>Servir como apoyo a todos los procesos del instituto, en cuanto a la implementación, mantenimiento y soporte técnico de los sistemas de información tanto misionales como de apoyo administrativo, garantizando a los usuarios el acceso a las herramientas informáticas a través de una infraestructura tecnológica debidamente actualizada y soportada, cumpliendo con los requisitos de oportunidad, disponibilidad y seguridad.</v>
      </c>
      <c r="G8" s="571"/>
      <c r="H8" s="571"/>
      <c r="I8" s="571"/>
      <c r="J8" s="571"/>
      <c r="K8" s="571"/>
      <c r="L8" s="571"/>
      <c r="M8" s="571"/>
      <c r="N8" s="571"/>
      <c r="O8" s="571"/>
      <c r="P8" s="571"/>
      <c r="Q8" s="571"/>
      <c r="R8" s="571"/>
      <c r="S8" s="571"/>
      <c r="T8" s="571"/>
      <c r="U8" s="572"/>
      <c r="V8" s="451"/>
      <c r="W8" s="9"/>
      <c r="X8" s="9"/>
    </row>
    <row r="9" spans="1:72" ht="6.75" customHeight="1" x14ac:dyDescent="0.25">
      <c r="B9" s="10"/>
      <c r="C9" s="10"/>
      <c r="D9" s="10"/>
      <c r="E9" s="10"/>
      <c r="F9" s="11"/>
      <c r="G9" s="11"/>
      <c r="H9" s="11"/>
      <c r="I9" s="11"/>
      <c r="J9" s="11"/>
      <c r="K9" s="11"/>
      <c r="L9" s="11"/>
      <c r="M9" s="11"/>
      <c r="N9" s="11"/>
      <c r="O9" s="11"/>
      <c r="P9" s="11"/>
      <c r="Q9" s="8"/>
      <c r="R9" s="8"/>
      <c r="S9" s="8"/>
      <c r="T9" s="8"/>
      <c r="U9" s="8"/>
      <c r="V9" s="444"/>
      <c r="W9" s="6"/>
      <c r="X9" s="6"/>
    </row>
    <row r="10" spans="1:72" ht="15" x14ac:dyDescent="0.25">
      <c r="A10" s="553" t="s">
        <v>4</v>
      </c>
      <c r="B10" s="553"/>
      <c r="C10" s="553"/>
      <c r="D10" s="553"/>
      <c r="E10" s="75"/>
      <c r="F10" s="554" t="s">
        <v>52</v>
      </c>
      <c r="G10" s="555"/>
      <c r="H10" s="555"/>
      <c r="I10" s="555"/>
      <c r="J10" s="555"/>
      <c r="K10" s="555"/>
      <c r="L10" s="555"/>
      <c r="M10" s="555"/>
      <c r="N10" s="555"/>
      <c r="O10" s="555"/>
      <c r="P10" s="555"/>
      <c r="Q10" s="555"/>
      <c r="R10" s="555"/>
      <c r="S10" s="555"/>
      <c r="T10" s="555"/>
      <c r="U10" s="556"/>
      <c r="V10" s="443"/>
      <c r="W10" s="12"/>
      <c r="X10" s="12"/>
    </row>
    <row r="11" spans="1:72" ht="5.25" customHeight="1" x14ac:dyDescent="0.25">
      <c r="B11" s="3"/>
      <c r="C11" s="3"/>
      <c r="D11" s="3"/>
      <c r="E11" s="3"/>
      <c r="F11" s="13"/>
      <c r="G11" s="13"/>
      <c r="H11" s="13"/>
      <c r="I11" s="13"/>
      <c r="J11" s="13"/>
      <c r="K11" s="13"/>
      <c r="L11" s="13"/>
      <c r="M11" s="13"/>
      <c r="N11" s="13"/>
      <c r="O11" s="13"/>
      <c r="P11" s="13"/>
      <c r="Q11" s="8"/>
      <c r="R11" s="8"/>
      <c r="S11" s="8"/>
      <c r="T11" s="8"/>
      <c r="U11" s="8"/>
      <c r="V11" s="444"/>
      <c r="W11" s="6"/>
      <c r="X11" s="6"/>
    </row>
    <row r="12" spans="1:72" ht="15.75" x14ac:dyDescent="0.25">
      <c r="A12" s="553" t="s">
        <v>5</v>
      </c>
      <c r="B12" s="553"/>
      <c r="C12" s="553"/>
      <c r="D12" s="553"/>
      <c r="E12" s="75"/>
      <c r="F12" s="585">
        <v>43496</v>
      </c>
      <c r="G12" s="586"/>
      <c r="H12" s="586"/>
      <c r="I12" s="586"/>
      <c r="J12" s="586"/>
      <c r="K12" s="586"/>
      <c r="L12" s="586"/>
      <c r="M12" s="586"/>
      <c r="N12" s="586"/>
      <c r="O12" s="586"/>
      <c r="P12" s="586"/>
      <c r="Q12" s="586"/>
      <c r="R12" s="586"/>
      <c r="S12" s="586"/>
      <c r="T12" s="586"/>
      <c r="U12" s="586"/>
      <c r="V12" s="586"/>
      <c r="W12" s="587"/>
      <c r="X12" s="12"/>
      <c r="AA12" s="2" t="s">
        <v>6</v>
      </c>
    </row>
    <row r="13" spans="1:72" ht="15" x14ac:dyDescent="0.25">
      <c r="B13" s="3"/>
      <c r="C13" s="3"/>
      <c r="D13" s="3"/>
      <c r="E13" s="3"/>
      <c r="F13" s="14"/>
      <c r="G13" s="14"/>
      <c r="H13" s="15"/>
      <c r="I13" s="15"/>
      <c r="J13" s="15"/>
      <c r="K13" s="354"/>
      <c r="L13" s="354"/>
      <c r="M13" s="355"/>
      <c r="N13" s="7"/>
      <c r="O13" s="7"/>
      <c r="P13" s="7"/>
      <c r="Q13" s="7"/>
      <c r="R13" s="15"/>
      <c r="S13" s="7"/>
      <c r="W13" s="6"/>
      <c r="X13" s="6"/>
      <c r="AA13" s="2" t="s">
        <v>7</v>
      </c>
      <c r="AG13" s="557" t="s">
        <v>8</v>
      </c>
      <c r="AH13" s="557"/>
      <c r="AI13" s="557"/>
      <c r="AJ13" s="557"/>
      <c r="AK13" s="557"/>
      <c r="AL13" s="557"/>
      <c r="AM13" s="557"/>
      <c r="AN13" s="557"/>
      <c r="AO13" s="557"/>
      <c r="AP13" s="557"/>
      <c r="AQ13" s="557"/>
      <c r="AR13" s="557"/>
      <c r="AS13" s="557"/>
      <c r="AT13" s="557"/>
      <c r="AU13" s="557"/>
      <c r="AV13" s="557"/>
      <c r="AW13" s="557"/>
      <c r="AX13" s="557"/>
      <c r="AY13" s="557"/>
      <c r="BA13" s="557" t="s">
        <v>9</v>
      </c>
      <c r="BB13" s="557"/>
      <c r="BC13" s="557"/>
      <c r="BD13" s="557"/>
      <c r="BE13" s="557"/>
      <c r="BF13" s="557"/>
      <c r="BG13" s="557"/>
      <c r="BH13" s="557"/>
      <c r="BI13" s="557"/>
      <c r="BJ13" s="557"/>
      <c r="BK13" s="557"/>
      <c r="BL13" s="557"/>
      <c r="BM13" s="557"/>
      <c r="BN13" s="557"/>
      <c r="BO13" s="557"/>
      <c r="BP13" s="557"/>
      <c r="BQ13" s="557"/>
      <c r="BR13" s="557"/>
      <c r="BS13" s="557"/>
      <c r="BT13" s="557"/>
    </row>
    <row r="14" spans="1:72" s="17" customFormat="1" ht="15" customHeight="1" x14ac:dyDescent="0.25">
      <c r="A14" s="558" t="s">
        <v>10</v>
      </c>
      <c r="B14" s="559"/>
      <c r="C14" s="559"/>
      <c r="D14" s="560"/>
      <c r="E14" s="76"/>
      <c r="F14" s="561" t="s">
        <v>11</v>
      </c>
      <c r="G14" s="561"/>
      <c r="H14" s="561"/>
      <c r="I14" s="16"/>
      <c r="J14" s="16"/>
      <c r="K14" s="319"/>
      <c r="L14" s="565" t="s">
        <v>13</v>
      </c>
      <c r="M14" s="565"/>
      <c r="N14" s="58"/>
      <c r="O14" s="565" t="s">
        <v>14</v>
      </c>
      <c r="P14" s="565"/>
      <c r="Q14" s="565"/>
      <c r="R14" s="565" t="s">
        <v>15</v>
      </c>
      <c r="S14" s="565"/>
      <c r="T14" s="565"/>
      <c r="U14" s="561"/>
      <c r="V14" s="452"/>
    </row>
    <row r="15" spans="1:72" s="17" customFormat="1" ht="14.25" customHeight="1" x14ac:dyDescent="0.25">
      <c r="A15" s="563" t="s">
        <v>16</v>
      </c>
      <c r="B15" s="563" t="s">
        <v>17</v>
      </c>
      <c r="C15" s="59"/>
      <c r="D15" s="563" t="s">
        <v>18</v>
      </c>
      <c r="E15" s="59"/>
      <c r="F15" s="543" t="s">
        <v>19</v>
      </c>
      <c r="G15" s="543"/>
      <c r="H15" s="543"/>
      <c r="I15" s="61"/>
      <c r="J15" s="318"/>
      <c r="K15" s="317"/>
      <c r="L15" s="543" t="s">
        <v>20</v>
      </c>
      <c r="M15" s="543"/>
      <c r="N15" s="62"/>
      <c r="O15" s="548" t="s">
        <v>21</v>
      </c>
      <c r="P15" s="549"/>
      <c r="Q15" s="550"/>
      <c r="R15" s="543" t="s">
        <v>22</v>
      </c>
      <c r="S15" s="543" t="s">
        <v>23</v>
      </c>
      <c r="T15" s="543" t="s">
        <v>4</v>
      </c>
      <c r="U15" s="543" t="s">
        <v>24</v>
      </c>
      <c r="V15" s="489"/>
    </row>
    <row r="16" spans="1:72" s="17" customFormat="1" ht="63" customHeight="1" x14ac:dyDescent="0.25">
      <c r="A16" s="566"/>
      <c r="B16" s="566"/>
      <c r="C16" s="60" t="s">
        <v>70</v>
      </c>
      <c r="D16" s="566"/>
      <c r="E16" s="60" t="s">
        <v>71</v>
      </c>
      <c r="F16" s="18" t="s">
        <v>25</v>
      </c>
      <c r="G16" s="61" t="s">
        <v>70</v>
      </c>
      <c r="H16" s="18" t="s">
        <v>9</v>
      </c>
      <c r="I16" s="61" t="s">
        <v>70</v>
      </c>
      <c r="J16" s="318" t="s">
        <v>26</v>
      </c>
      <c r="K16" s="317" t="s">
        <v>73</v>
      </c>
      <c r="L16" s="317" t="s">
        <v>75</v>
      </c>
      <c r="M16" s="317" t="s">
        <v>26</v>
      </c>
      <c r="N16" s="352" t="s">
        <v>74</v>
      </c>
      <c r="O16" s="18" t="s">
        <v>27</v>
      </c>
      <c r="P16" s="18" t="s">
        <v>23</v>
      </c>
      <c r="Q16" s="18" t="s">
        <v>28</v>
      </c>
      <c r="R16" s="543"/>
      <c r="S16" s="543"/>
      <c r="T16" s="543"/>
      <c r="U16" s="543"/>
      <c r="V16" s="489"/>
    </row>
    <row r="17" spans="1:70" ht="409.5" customHeight="1" x14ac:dyDescent="0.25">
      <c r="A17" s="345" t="s">
        <v>157</v>
      </c>
      <c r="B17" s="345" t="s">
        <v>158</v>
      </c>
      <c r="C17" s="345" t="s">
        <v>159</v>
      </c>
      <c r="D17" s="345" t="s">
        <v>160</v>
      </c>
      <c r="E17" s="340" t="s">
        <v>81</v>
      </c>
      <c r="F17" s="341">
        <v>3</v>
      </c>
      <c r="G17" s="341" t="s">
        <v>76</v>
      </c>
      <c r="H17" s="342">
        <v>20</v>
      </c>
      <c r="I17" s="342" t="s">
        <v>84</v>
      </c>
      <c r="J17" s="351" t="s">
        <v>44</v>
      </c>
      <c r="K17" s="356" t="s">
        <v>161</v>
      </c>
      <c r="L17" s="247" t="s">
        <v>25</v>
      </c>
      <c r="M17" s="343" t="s">
        <v>40</v>
      </c>
      <c r="N17" s="353" t="s">
        <v>78</v>
      </c>
      <c r="O17" s="344">
        <v>2019</v>
      </c>
      <c r="P17" s="532" t="s">
        <v>297</v>
      </c>
      <c r="Q17" s="306" t="s">
        <v>185</v>
      </c>
      <c r="R17" s="458"/>
      <c r="S17" s="429"/>
      <c r="T17" s="420" t="s">
        <v>215</v>
      </c>
      <c r="U17" s="429" t="s">
        <v>279</v>
      </c>
      <c r="V17" s="429"/>
      <c r="X17" s="26" t="str">
        <f>IF(AND(F17=1,H17=5),$H$22,IF(AND(F17=1,H17=10),$J$22,IF(AND(F17=1,H17=20),#REF!," ")))</f>
        <v xml:space="preserve"> </v>
      </c>
      <c r="Y17" s="26" t="str">
        <f>IF(AND(F17=2,H17=5),$H$23,IF(AND(F17=2,H17=10),$J$23,IF(AND(F17=2,H17=20),#REF!," ")))</f>
        <v xml:space="preserve"> </v>
      </c>
      <c r="Z17" s="26" t="e">
        <f>IF(AND(F17=3,H17=5),$H$24,IF(AND(F17=3,H17=10),$J$24,IF(AND(F17=3,H17=20),#REF!," ")))</f>
        <v>#REF!</v>
      </c>
      <c r="AA17" s="26" t="str">
        <f>IF(AND(F17=4,H17=5),$H$25,IF(AND(F17=4,H17=10),$J$25,IF(AND(F17=4,H17=20),#REF!," ")))</f>
        <v xml:space="preserve"> </v>
      </c>
      <c r="AB17" s="26" t="str">
        <f>IF(AND(F17=5,H17=5),$H$26,IF(AND(F17=5,H17=10),$J$26,IF(AND(F17=5,H17=20),#REF!," ")))</f>
        <v xml:space="preserve"> </v>
      </c>
      <c r="AE17" s="26" t="str">
        <f>IF(AND(L17&gt;0,'[16]EvaluaciónRiesgoCorrup R1'!$F$11&gt;75,F17=1,H17=5),$H$22,IF(AND(L17&gt;0,'[16]EvaluaciónRiesgoCorrup R1'!$F$11&gt;75,F17=1,H17=10),$J$22,IF(AND(L17&gt;0,'[16]EvaluaciónRiesgoCorrup R1'!$F$11&gt;75,F17=1,H17=20),#REF!," ")))</f>
        <v xml:space="preserve"> </v>
      </c>
      <c r="AF17" s="26" t="str">
        <f>IF(AND(L17&gt;0,'[16]EvaluaciónRiesgoCorrup R1'!$F$11&gt;75,F17=2,H17=5),$H$22,IF(AND(L17&gt;0,'[16]EvaluaciónRiesgoCorrup R1'!$F$11&gt;75,F17=2,H17=10),$J$22,IF(AND(L17&gt;0,'[16]EvaluaciónRiesgoCorrup R1'!$F$11&gt;75,F17=2,H17=20),#REF!," ")))</f>
        <v xml:space="preserve"> </v>
      </c>
      <c r="AG17" s="26" t="e">
        <f>IF(AND(L17&gt;0,'[16]EvaluaciónRiesgoCorrup R1'!$F$11&gt;75,F17=3,H17=5),$H$22,IF(AND(L17&gt;0,'[16]EvaluaciónRiesgoCorrup R1'!$F$11&gt;75,F17=3,H17=10),$J$22,IF(AND(L17&gt;0,'[16]EvaluaciónRiesgoCorrup R1'!$F$11&gt;75,F17=3,H17=20),#REF!," ")))</f>
        <v>#REF!</v>
      </c>
      <c r="AH17" s="26" t="str">
        <f>IF(AND(L17&gt;0,'[16]EvaluaciónRiesgoCorrup R1'!$F$11&gt;75,F17=4,H17=5),$H$23,IF(AND(L17&gt;0,'[16]EvaluaciónRiesgoCorrup R1'!$F$11&gt;75,F17=4,H17=10),$J$23,IF(AND(L17&gt;0,'[16]EvaluaciónRiesgoCorrup R1'!$F$11&gt;75,F17=4,H17=20),#REF!," ")))</f>
        <v xml:space="preserve"> </v>
      </c>
      <c r="AI17" s="26" t="str">
        <f>IF(AND(L17&gt;0,'[16]EvaluaciónRiesgoCorrup R1'!$F$11&gt;75,F17=5,H17=5),$H$24,IF(AND(L17&gt;0,'[16]EvaluaciónRiesgoCorrup R1'!$F$11&gt;75,F17=5,H17=10),$J$24,IF(AND(L17&gt;0,'[16]EvaluaciónRiesgoCorrup R1'!$F$11&gt;75,F17=5,H17=20),#REF!," ")))</f>
        <v xml:space="preserve"> </v>
      </c>
      <c r="AK17" s="26" t="str">
        <f>IF(AND(L17&gt;0,'[16]EvaluaciónRiesgoCorrup R1'!$F$11&gt;50,'[16]EvaluaciónRiesgoCorrup R1'!$F$11&lt;76,F17=1,H17=5),$H$22,IF(AND(L17&gt;0,'[16]EvaluaciónRiesgoCorrup R1'!$F$11&gt;50,'[16]EvaluaciónRiesgoCorrup R1'!$F$11&lt;76,F17=1,H17=10),$J$22,IF(AND(L17&gt;0,'[16]EvaluaciónRiesgoCorrup R1'!$F$11&gt;50,'[16]EvaluaciónRiesgoCorrup R1'!$F$11&lt;76,F17=1,H17=20),#REF!," ")))</f>
        <v xml:space="preserve"> </v>
      </c>
      <c r="AL17" s="26" t="str">
        <f>IF(AND(L17&gt;0,'[16]EvaluaciónRiesgoCorrup R1'!$F$11&gt;50,'[16]EvaluaciónRiesgoCorrup R1'!$F$11&lt;76,F17=2,H17=5),$H$22,IF(AND(L17&gt;0,'[16]EvaluaciónRiesgoCorrup R1'!$F$11&gt;50,'[16]EvaluaciónRiesgoCorrup R1'!$F$11&lt;76,F17=2,H17=10),$J$22,IF(AND(L17&gt;0,'[16]EvaluaciónRiesgoCorrup R1'!$F$11&gt;50,'[16]EvaluaciónRiesgoCorrup R1'!$F$11&lt;76,F17=2,H17=20),#REF!," ")))</f>
        <v xml:space="preserve"> </v>
      </c>
      <c r="AM17" s="26" t="str">
        <f>IF(AND(L17&gt;0,'[16]EvaluaciónRiesgoCorrup R1'!$F$11&gt;50,'[16]EvaluaciónRiesgoCorrup R1'!$F$11&lt;76,F17=3,H17=5),$H$23,IF(AND(L17&gt;0,'[16]EvaluaciónRiesgoCorrup R1'!$F$11&gt;50,'[16]EvaluaciónRiesgoCorrup R1'!$F$11&lt;76,F17=3,H17=10),$J$23,IF(AND(L17&gt;0,'[16]EvaluaciónRiesgoCorrup R1'!$F$11&gt;50,'[16]EvaluaciónRiesgoCorrup R1'!$F$11&lt;76,F17=3,H17=20),#REF!," ")))</f>
        <v xml:space="preserve"> </v>
      </c>
      <c r="AN17" s="26" t="str">
        <f>IF(AND(L17&gt;0,'[16]EvaluaciónRiesgoCorrup R1'!$F$11&gt;50,'[16]EvaluaciónRiesgoCorrup R1'!$F$11&lt;76,F17=4,H17=5),$H$24,IF(AND(L17&gt;0,'[16]EvaluaciónRiesgoCorrup R1'!$F$11&gt;50,'[16]EvaluaciónRiesgoCorrup R1'!$F$11&lt;76,F17=4,H17=10),$J$24,IF(AND(L17&gt;0,'[16]EvaluaciónRiesgoCorrup R1'!$F$11&gt;50,'[16]EvaluaciónRiesgoCorrup R1'!$F$11&lt;76,F17=4,H17=20),#REF!," ")))</f>
        <v xml:space="preserve"> </v>
      </c>
      <c r="AO17" s="26" t="str">
        <f>IF(AND(L17&gt;0,'[16]EvaluaciónRiesgoCorrup R1'!$F$11&gt;50,'[16]EvaluaciónRiesgoCorrup R1'!$F$11&lt;76,F17=5,H17=5),$H$25,IF(AND(L17&gt;0,'[16]EvaluaciónRiesgoCorrup R1'!$F$11&gt;50,'[16]EvaluaciónRiesgoCorrup R1'!$F$11&lt;76,F17=5,H17=10),$J$25,IF(AND(L17&gt;0,'[16]EvaluaciónRiesgoCorrup R1'!$F$11&gt;50,'[16]EvaluaciónRiesgoCorrup R1'!$F$11&lt;76,F17=5,H17=20),#REF!," ")))</f>
        <v xml:space="preserve"> </v>
      </c>
      <c r="AR17" s="26" t="str">
        <f>IF(AND(L17&gt;0,'[16]EvaluaciónRiesgoCorrup R1'!$F$11&lt;51,F17=1,H17=5),$H$22,IF(AND(L17&gt;0,'[16]EvaluaciónRiesgoCorrup R1'!$F$11&lt;51,F17=1,H17=10),$J$22,IF(AND(L17&gt;0,'[16]EvaluaciónRiesgoCorrup R1'!$F$11&lt;51,F17=1,H17=20),#REF!," ")))</f>
        <v xml:space="preserve"> </v>
      </c>
      <c r="AS17" s="26" t="str">
        <f>IF(AND(L17&gt;0,'[16]EvaluaciónRiesgoCorrup R1'!$F$11&lt;51,F17=2,H17=5),$H$23,IF(AND(L17&gt;0,'[16]EvaluaciónRiesgoCorrup R1'!$F$11&lt;51,F17=2,H17=10),$J$23,IF(AND(L17&gt;0,'[16]EvaluaciónRiesgoCorrup R1'!$F$11&lt;51,F17=2,H17=20),#REF!," ")))</f>
        <v xml:space="preserve"> </v>
      </c>
      <c r="AT17" s="26" t="str">
        <f>IF(AND(L17&gt;0,'[16]EvaluaciónRiesgoCorrup R1'!$F$11&lt;51,F17=3,H17=5),$H$24,IF(AND(L17&gt;0,'[16]EvaluaciónRiesgoCorrup R1'!$F$11&lt;51,F17=3,H17=10),$J$24,IF(AND(L17&gt;0,'[16]EvaluaciónRiesgoCorrup R1'!$F$11&lt;51,F17=3,H17=20),#REF!," ")))</f>
        <v xml:space="preserve"> </v>
      </c>
      <c r="AU17" s="26" t="str">
        <f>IF(AND(L17&gt;0,'[16]EvaluaciónRiesgoCorrup R1'!$F$11&lt;51,F17=4,H17=5),$H$25,IF(AND(L17&gt;0,'[16]EvaluaciónRiesgoCorrup R1'!$F$11&lt;51,F17=4,H17=10),$J$25,IF(AND(L17&gt;0,'[16]EvaluaciónRiesgoCorrup R1'!$F$11&lt;51,F17=4,H17=20),#REF!," ")))</f>
        <v xml:space="preserve"> </v>
      </c>
      <c r="AV17" s="26" t="str">
        <f>IF(AND(L17&gt;0,'[16]EvaluaciónRiesgoCorrup R1'!$F$11&lt;51,F17=5,H17=5),$H$26,IF(AND(L17&gt;0,'[16]EvaluaciónRiesgoCorrup R1'!$F$11&lt;51,F17=5,H17=10),$J$26,IF(AND(L17&gt;0,'[16]EvaluaciónRiesgoCorrup R1'!$F$11&lt;51,F17=5,H17=20),#REF!," ")))</f>
        <v xml:space="preserve"> </v>
      </c>
      <c r="AZ17" s="26" t="e">
        <f>IF(AND(#REF!&gt;0,'[16]EvaluaciónRiesgoCorrup R1'!$F$11&gt;75,F17=1,H17=5),$H$22,IF(AND(#REF!&gt;0,'[16]EvaluaciónRiesgoCorrup R1'!$F$11&gt;75,F17=1,H17=10),$H$22,IF(AND(#REF!&gt;0,'[16]EvaluaciónRiesgoCorrup R1'!$F$11&gt;75,F17=1,H17=20),$H$22," ")))</f>
        <v>#REF!</v>
      </c>
      <c r="BA17" s="26" t="e">
        <f>IF(AND(#REF!&gt;0,'[16]EvaluaciónRiesgoCorrup R1'!$F$11&gt;75,F17=2,H17=5),$H$23,IF(AND(#REF!&gt;0,'[16]EvaluaciónRiesgoCorrup R1'!$F$11&gt;75,F17=2,H17=10),$H$23,IF(AND(#REF!&gt;0,'[16]EvaluaciónRiesgoCorrup R1'!$F$11&gt;75,F17=2,H17=20),$H$23," ")))</f>
        <v>#REF!</v>
      </c>
      <c r="BB17" s="26" t="e">
        <f>IF(AND(#REF!&gt;0,'[16]EvaluaciónRiesgoCorrup R1'!$F$11&gt;75,F17=3,H17=5),$H$24,IF(AND(#REF!&gt;0,'[16]EvaluaciónRiesgoCorrup R1'!$F$11&gt;75,F17=3,H17=10),$H$24,IF(AND(#REF!&gt;0,'[16]EvaluaciónRiesgoCorrup R1'!$F$11&gt;75,F17=3,H17=20),$H$24," ")))</f>
        <v>#REF!</v>
      </c>
      <c r="BC17" s="26" t="e">
        <f>IF(AND(#REF!&gt;0,'[16]EvaluaciónRiesgoCorrup R1'!$F$11&gt;75,F17=4,H17=5),$H$25,IF(AND(#REF!&gt;0,'[16]EvaluaciónRiesgoCorrup R1'!$F$11&gt;75,F17=4,H17=10),$H$25,IF(AND(#REF!&gt;0,'[16]EvaluaciónRiesgoCorrup R1'!$F$11&gt;75,F17=4,H17=20),$H$25," ")))</f>
        <v>#REF!</v>
      </c>
      <c r="BD17" s="26" t="e">
        <f>IF(AND(#REF!&gt;0,'[16]EvaluaciónRiesgoCorrup R1'!$F$11&gt;75,F17=5,H17=5),$H$26,IF(AND(#REF!&gt;0,'[16]EvaluaciónRiesgoCorrup R1'!$F$11&gt;75,F17=5,H17=10),$H$26,IF(AND(#REF!&gt;0,'[16]EvaluaciónRiesgoCorrup R1'!$F$11&gt;75,F17=5,H17=20),$H$26," ")))</f>
        <v>#REF!</v>
      </c>
      <c r="BG17" s="26" t="e">
        <f>IF(AND(#REF!&gt;0,'[16]EvaluaciónRiesgoCorrup R1'!$F$11&gt;50,'[16]EvaluaciónRiesgoCorrup R1'!$F$11&lt;76,F17=1,H17=5),$H$22,IF(AND(#REF!&gt;0,'[16]EvaluaciónRiesgoCorrup R1'!$F$11&gt;50,'[16]EvaluaciónRiesgoCorrup R1'!$F$11&lt;76,F17=1,H17=10),$H$22,IF(AND(#REF!&gt;0,'[16]EvaluaciónRiesgoCorrup R1'!$F$11&gt;50,'[16]EvaluaciónRiesgoCorrup R1'!$F$11&lt;76,F17=1,H17=20),$J$22," ")))</f>
        <v>#REF!</v>
      </c>
      <c r="BH17" s="26" t="e">
        <f>IF(AND(#REF!&gt;0,'[16]EvaluaciónRiesgoCorrup R1'!$F$11&gt;50,'[16]EvaluaciónRiesgoCorrup R1'!$F$11&lt;76,F17=2,H17=5),$H$23,IF(AND(#REF!&gt;0,'[16]EvaluaciónRiesgoCorrup R1'!$F$11&gt;50,'[16]EvaluaciónRiesgoCorrup R1'!$F$11&lt;76,F17=2,H17=10),$H$23,IF(AND(#REF!&gt;0,'[16]EvaluaciónRiesgoCorrup R1'!$F$11&gt;50,'[16]EvaluaciónRiesgoCorrup R1'!$F$11&lt;76,F17=2,H17=20),$J$23," ")))</f>
        <v>#REF!</v>
      </c>
      <c r="BI17" s="26" t="e">
        <f>IF(AND(#REF!&gt;0,'[16]EvaluaciónRiesgoCorrup R1'!$F$11&gt;50,'[16]EvaluaciónRiesgoCorrup R1'!$F$11&lt;76,F17=3,H17=5),$H$24,IF(AND(#REF!&gt;0,'[16]EvaluaciónRiesgoCorrup R1'!$F$11&gt;50,'[16]EvaluaciónRiesgoCorrup R1'!$F$11&lt;76,F17=3,H17=10),$H$24,IF(AND(#REF!&gt;0,'[16]EvaluaciónRiesgoCorrup R1'!$F$11&gt;50,'[16]EvaluaciónRiesgoCorrup R1'!$F$11&lt;76,F17=3,H17=20),$J$24," ")))</f>
        <v>#REF!</v>
      </c>
      <c r="BJ17" s="26" t="e">
        <f>IF(AND(#REF!&gt;0,'[16]EvaluaciónRiesgoCorrup R1'!$F$11&gt;50,'[16]EvaluaciónRiesgoCorrup R1'!$F$11&lt;76,F17=4,H17=5),$H$25,IF(AND(#REF!&gt;0,'[16]EvaluaciónRiesgoCorrup R1'!$F$11&gt;50,'[16]EvaluaciónRiesgoCorrup R1'!$F$11&lt;76,F17=4,H17=10),$H$25,IF(AND(#REF!&gt;0,'[16]EvaluaciónRiesgoCorrup R1'!$F$11&gt;50,'[16]EvaluaciónRiesgoCorrup R1'!$F$11&lt;76,F17=4,H17=20),$J$25," ")))</f>
        <v>#REF!</v>
      </c>
      <c r="BK17" s="26" t="e">
        <f>IF(AND(#REF!&gt;0,'[16]EvaluaciónRiesgoCorrup R1'!$F$11&gt;50,'[16]EvaluaciónRiesgoCorrup R1'!$F$11&lt;76,F17=5,H17=5),$H$26,IF(AND(#REF!&gt;0,'[16]EvaluaciónRiesgoCorrup R1'!$F$11&gt;50,'[16]EvaluaciónRiesgoCorrup R1'!$F$11&lt;76,F17=5,H17=10),$H$26,IF(AND(#REF!&gt;0,'[16]EvaluaciónRiesgoCorrup R1'!$F$11&gt;50,'[16]EvaluaciónRiesgoCorrup R1'!$F$11&lt;76,F17=5,H17=20),$J$26," ")))</f>
        <v>#REF!</v>
      </c>
      <c r="BN17" s="26" t="e">
        <f>IF(AND(#REF!&gt;0,'[16]EvaluaciónRiesgoCorrup R1'!$F$11&lt;51,F17=1,H17=5),$H$22,IF(AND(#REF!&gt;0,'[16]EvaluaciónRiesgoCorrup R1'!$F$11&lt;51,F17=1,H17=10),$J$22,IF(AND(#REF!&gt;0,'[16]EvaluaciónRiesgoCorrup R1'!$F$11&lt;51,F17=1,H17=20),#REF!," ")))</f>
        <v>#REF!</v>
      </c>
      <c r="BO17" s="26" t="e">
        <f>IF(AND(#REF!&gt;0,'[16]EvaluaciónRiesgoCorrup R1'!$F$11&lt;51,F17=2,H17=5),$H$23,IF(AND(#REF!&gt;0,'[16]EvaluaciónRiesgoCorrup R1'!$F$11&lt;51,F17=2,H17=10),$J$23,IF(AND(#REF!&gt;0,'[16]EvaluaciónRiesgoCorrup R1'!$F$11&lt;51,F17=2,H17=20),#REF!," ")))</f>
        <v>#REF!</v>
      </c>
      <c r="BP17" s="26" t="e">
        <f>IF(AND(#REF!&gt;0,'[16]EvaluaciónRiesgoCorrup R1'!$F$11&lt;51,F17=3,H17=5),$H$24,IF(AND(#REF!&gt;0,'[16]EvaluaciónRiesgoCorrup R1'!$F$11&lt;51,F17=3,H17=10),$J$24,IF(AND(#REF!&gt;0,'[16]EvaluaciónRiesgoCorrup R1'!$F$11&lt;51,F17=3,H17=20),#REF!," ")))</f>
        <v>#REF!</v>
      </c>
      <c r="BQ17" s="26" t="e">
        <f>IF(AND(#REF!&gt;0,'[16]EvaluaciónRiesgoCorrup R1'!$F$11&lt;51,F17=4,H17=5),$H$25,IF(AND(#REF!&gt;0,'[16]EvaluaciónRiesgoCorrup R1'!$F$11&lt;51,F17=4,H17=10),$J$25,IF(AND(#REF!&gt;0,'[16]EvaluaciónRiesgoCorrup R1'!$F$11&lt;51,F17=4,H17=20),#REF!," ")))</f>
        <v>#REF!</v>
      </c>
      <c r="BR17" s="26" t="e">
        <f>IF(AND(#REF!&gt;0,'[16]EvaluaciónRiesgoCorrup R1'!$F$11&lt;51,F17=5,H17=5),$H$26,IF(AND(#REF!&gt;0,'[16]EvaluaciónRiesgoCorrup R1'!$F$11&lt;51,F17=5,H17=10),$J$26,IF(AND(#REF!&gt;0,'[16]EvaluaciónRiesgoCorrup R1'!$F$11&lt;51,F17=5,H17=20),#REF!," ")))</f>
        <v>#REF!</v>
      </c>
    </row>
    <row r="18" spans="1:70" x14ac:dyDescent="0.25">
      <c r="A18" s="26"/>
      <c r="B18" s="28"/>
      <c r="C18" s="28"/>
      <c r="D18" s="28"/>
      <c r="E18" s="31"/>
      <c r="L18" s="248"/>
      <c r="M18" s="6"/>
    </row>
    <row r="19" spans="1:70" ht="15" thickBot="1" x14ac:dyDescent="0.3">
      <c r="A19" s="26"/>
      <c r="B19" s="28"/>
      <c r="C19" s="28"/>
      <c r="D19" s="28"/>
      <c r="E19" s="31"/>
      <c r="H19" s="30"/>
      <c r="I19" s="30"/>
      <c r="J19" s="30"/>
      <c r="K19" s="30"/>
      <c r="L19" s="248"/>
      <c r="M19" s="6"/>
    </row>
    <row r="20" spans="1:70" ht="15.75" thickBot="1" x14ac:dyDescent="0.3">
      <c r="A20" s="6"/>
      <c r="B20" s="31"/>
      <c r="C20" s="31"/>
      <c r="D20" s="31"/>
      <c r="E20" s="31"/>
      <c r="F20" s="544" t="s">
        <v>25</v>
      </c>
      <c r="G20" s="77"/>
      <c r="H20" s="546" t="s">
        <v>9</v>
      </c>
      <c r="I20" s="546"/>
      <c r="J20" s="546"/>
      <c r="K20" s="546"/>
      <c r="L20" s="6"/>
      <c r="M20" s="6"/>
      <c r="P20" s="5"/>
      <c r="R20" s="2"/>
    </row>
    <row r="21" spans="1:70" ht="32.25" customHeight="1" thickBot="1" x14ac:dyDescent="0.3">
      <c r="A21" s="5"/>
      <c r="B21" s="32" t="s">
        <v>33</v>
      </c>
      <c r="C21" s="32"/>
      <c r="D21" s="32"/>
      <c r="E21" s="32"/>
      <c r="F21" s="545"/>
      <c r="G21" s="63"/>
      <c r="H21" s="33" t="s">
        <v>34</v>
      </c>
      <c r="I21" s="33"/>
      <c r="J21" s="34" t="s">
        <v>35</v>
      </c>
      <c r="K21" s="243"/>
      <c r="L21" s="6"/>
      <c r="M21" s="6"/>
      <c r="P21" s="5"/>
      <c r="R21" s="2"/>
    </row>
    <row r="22" spans="1:70" ht="30.75" customHeight="1" thickBot="1" x14ac:dyDescent="0.3">
      <c r="B22" s="618" t="s">
        <v>37</v>
      </c>
      <c r="C22" s="618"/>
      <c r="D22" s="619"/>
      <c r="E22" s="64"/>
      <c r="F22" s="35" t="s">
        <v>38</v>
      </c>
      <c r="G22" s="35"/>
      <c r="H22" s="36" t="s">
        <v>39</v>
      </c>
      <c r="I22" s="36"/>
      <c r="J22" s="36" t="s">
        <v>39</v>
      </c>
      <c r="K22" s="244"/>
      <c r="L22" s="6"/>
      <c r="M22" s="6"/>
      <c r="P22" s="5"/>
      <c r="R22" s="2"/>
    </row>
    <row r="23" spans="1:70" ht="15.75" thickBot="1" x14ac:dyDescent="0.3">
      <c r="F23" s="35" t="s">
        <v>41</v>
      </c>
      <c r="G23" s="35"/>
      <c r="H23" s="36" t="s">
        <v>39</v>
      </c>
      <c r="I23" s="36"/>
      <c r="J23" s="37" t="s">
        <v>40</v>
      </c>
      <c r="K23" s="245"/>
      <c r="L23" s="6"/>
      <c r="M23" s="6"/>
      <c r="P23" s="5"/>
      <c r="R23" s="2" t="s">
        <v>201</v>
      </c>
    </row>
    <row r="24" spans="1:70" ht="15.75" thickBot="1" x14ac:dyDescent="0.3">
      <c r="F24" s="35" t="s">
        <v>43</v>
      </c>
      <c r="G24" s="35"/>
      <c r="H24" s="37" t="s">
        <v>40</v>
      </c>
      <c r="I24" s="37"/>
      <c r="J24" s="38" t="s">
        <v>42</v>
      </c>
      <c r="K24" s="246"/>
      <c r="L24" s="6"/>
      <c r="M24" s="6"/>
      <c r="P24" s="5"/>
      <c r="R24" s="2"/>
    </row>
    <row r="25" spans="1:70" ht="15.75" thickBot="1" x14ac:dyDescent="0.3">
      <c r="F25" s="35" t="s">
        <v>45</v>
      </c>
      <c r="G25" s="35"/>
      <c r="H25" s="37" t="s">
        <v>40</v>
      </c>
      <c r="I25" s="37"/>
      <c r="J25" s="38" t="s">
        <v>42</v>
      </c>
      <c r="K25" s="246"/>
      <c r="L25" s="6"/>
      <c r="M25" s="6"/>
      <c r="P25" s="5"/>
      <c r="R25" s="2"/>
    </row>
    <row r="26" spans="1:70" ht="15.75" thickBot="1" x14ac:dyDescent="0.3">
      <c r="F26" s="35" t="s">
        <v>46</v>
      </c>
      <c r="G26" s="35"/>
      <c r="H26" s="37" t="s">
        <v>40</v>
      </c>
      <c r="I26" s="37"/>
      <c r="J26" s="38" t="s">
        <v>42</v>
      </c>
      <c r="K26" s="246"/>
      <c r="L26" s="6"/>
      <c r="M26" s="6"/>
      <c r="P26" s="5"/>
      <c r="R26" s="2"/>
    </row>
    <row r="27" spans="1:70" x14ac:dyDescent="0.25">
      <c r="F27" s="2"/>
      <c r="G27" s="2"/>
      <c r="H27" s="2"/>
      <c r="I27" s="2"/>
      <c r="J27" s="2"/>
      <c r="K27" s="2"/>
      <c r="L27" s="248"/>
      <c r="M27" s="6"/>
    </row>
    <row r="28" spans="1:70" ht="15" x14ac:dyDescent="0.25">
      <c r="F28" s="40" t="s">
        <v>47</v>
      </c>
      <c r="G28" s="40"/>
      <c r="H28" s="2"/>
      <c r="I28" s="2"/>
      <c r="J28" s="2"/>
      <c r="K28" s="2"/>
      <c r="L28" s="248"/>
      <c r="M28" s="248"/>
      <c r="N28" s="5"/>
      <c r="O28" s="5"/>
    </row>
    <row r="29" spans="1:70" ht="15" x14ac:dyDescent="0.25">
      <c r="F29" s="41" t="s">
        <v>48</v>
      </c>
      <c r="G29" s="41"/>
      <c r="H29" s="2"/>
      <c r="I29" s="2"/>
      <c r="J29" s="2"/>
      <c r="K29" s="2"/>
      <c r="L29" s="248"/>
      <c r="M29" s="248"/>
      <c r="N29" s="5"/>
      <c r="O29" s="5"/>
    </row>
    <row r="30" spans="1:70" ht="15" x14ac:dyDescent="0.25">
      <c r="F30" s="42" t="s">
        <v>49</v>
      </c>
      <c r="G30" s="42"/>
      <c r="H30" s="2"/>
      <c r="I30" s="2"/>
      <c r="J30" s="2"/>
      <c r="K30" s="2"/>
      <c r="L30" s="248"/>
      <c r="M30" s="248"/>
      <c r="N30" s="5"/>
      <c r="O30" s="5"/>
    </row>
    <row r="31" spans="1:70" ht="15" x14ac:dyDescent="0.25">
      <c r="F31" s="43" t="s">
        <v>50</v>
      </c>
      <c r="G31" s="43"/>
      <c r="H31" s="2"/>
      <c r="I31" s="2"/>
      <c r="J31" s="2"/>
      <c r="K31" s="2"/>
      <c r="L31" s="248"/>
      <c r="M31" s="248"/>
      <c r="N31" s="5"/>
      <c r="O31" s="5"/>
    </row>
    <row r="32" spans="1:70" x14ac:dyDescent="0.25">
      <c r="L32" s="248"/>
      <c r="M32" s="6"/>
    </row>
    <row r="33" spans="12:13" x14ac:dyDescent="0.25">
      <c r="L33" s="248"/>
      <c r="M33" s="6"/>
    </row>
    <row r="34" spans="12:13" x14ac:dyDescent="0.25">
      <c r="L34" s="248"/>
      <c r="M34" s="6"/>
    </row>
    <row r="35" spans="12:13" x14ac:dyDescent="0.25">
      <c r="L35" s="248"/>
      <c r="M35" s="6"/>
    </row>
    <row r="36" spans="12:13" x14ac:dyDescent="0.25">
      <c r="L36" s="248"/>
      <c r="M36" s="6"/>
    </row>
    <row r="37" spans="12:13" x14ac:dyDescent="0.25">
      <c r="L37" s="248"/>
      <c r="M37" s="6"/>
    </row>
    <row r="38" spans="12:13" x14ac:dyDescent="0.25">
      <c r="L38" s="248"/>
      <c r="M38" s="6"/>
    </row>
  </sheetData>
  <mergeCells count="34">
    <mergeCell ref="B22:D22"/>
    <mergeCell ref="R15:R16"/>
    <mergeCell ref="S15:S16"/>
    <mergeCell ref="T15:T16"/>
    <mergeCell ref="U15:U16"/>
    <mergeCell ref="F20:F21"/>
    <mergeCell ref="H20:K20"/>
    <mergeCell ref="O15:Q15"/>
    <mergeCell ref="A15:A16"/>
    <mergeCell ref="B15:B16"/>
    <mergeCell ref="D15:D16"/>
    <mergeCell ref="F15:H15"/>
    <mergeCell ref="L15:M15"/>
    <mergeCell ref="A12:D12"/>
    <mergeCell ref="AG13:AY13"/>
    <mergeCell ref="BA13:BT13"/>
    <mergeCell ref="A14:D14"/>
    <mergeCell ref="F14:H14"/>
    <mergeCell ref="L14:M14"/>
    <mergeCell ref="O14:Q14"/>
    <mergeCell ref="R14:U14"/>
    <mergeCell ref="F12:W12"/>
    <mergeCell ref="A6:D6"/>
    <mergeCell ref="F6:U6"/>
    <mergeCell ref="A8:D8"/>
    <mergeCell ref="F8:U8"/>
    <mergeCell ref="A10:D10"/>
    <mergeCell ref="F10:U10"/>
    <mergeCell ref="A1:D4"/>
    <mergeCell ref="F1:S4"/>
    <mergeCell ref="T1:U1"/>
    <mergeCell ref="T2:U2"/>
    <mergeCell ref="T3:U3"/>
    <mergeCell ref="T4:U4"/>
  </mergeCells>
  <conditionalFormatting sqref="M17:N17 J17:K17">
    <cfRule type="containsText" dxfId="51" priority="5" operator="containsText" text="E">
      <formula>NOT(ISERROR(SEARCH("E",J17)))</formula>
    </cfRule>
    <cfRule type="containsText" dxfId="50" priority="6" operator="containsText" text="M">
      <formula>NOT(ISERROR(SEARCH("M",J17)))</formula>
    </cfRule>
    <cfRule type="containsText" dxfId="49" priority="7" operator="containsText" text="A">
      <formula>NOT(ISERROR(SEARCH("A",J17)))</formula>
    </cfRule>
    <cfRule type="containsText" dxfId="48" priority="8" operator="containsText" text="B">
      <formula>NOT(ISERROR(SEARCH("B",J17)))</formula>
    </cfRule>
  </conditionalFormatting>
  <pageMargins left="0.7" right="0.7" top="0.75" bottom="0.75" header="0.3" footer="0.3"/>
  <pageSetup scale="1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3"/>
  <sheetViews>
    <sheetView showGridLines="0" view="pageBreakPreview" topLeftCell="P15" zoomScale="95" zoomScaleNormal="70" zoomScaleSheetLayoutView="95" workbookViewId="0">
      <selection activeCell="W15" sqref="W15"/>
    </sheetView>
  </sheetViews>
  <sheetFormatPr baseColWidth="10" defaultColWidth="11.42578125" defaultRowHeight="14.25" x14ac:dyDescent="0.25"/>
  <cols>
    <col min="1" max="1" width="34.7109375" style="2" customWidth="1"/>
    <col min="2" max="2" width="25.5703125" style="2" customWidth="1"/>
    <col min="3" max="3" width="25.5703125" style="115" customWidth="1"/>
    <col min="4" max="4" width="19.7109375" style="2" customWidth="1"/>
    <col min="5" max="5" width="19.7109375" style="115" customWidth="1"/>
    <col min="6" max="6" width="27" style="5" customWidth="1"/>
    <col min="7" max="7" width="27" style="118" customWidth="1"/>
    <col min="8" max="8" width="19" style="5" customWidth="1"/>
    <col min="9" max="9" width="19" style="118" customWidth="1"/>
    <col min="10" max="10" width="26.7109375" style="5" customWidth="1"/>
    <col min="11" max="11" width="29.7109375" style="2" customWidth="1"/>
    <col min="12" max="12" width="21.5703125" style="5" customWidth="1"/>
    <col min="13" max="13" width="18.5703125" style="2" customWidth="1"/>
    <col min="14" max="14" width="21.7109375" style="2" customWidth="1"/>
    <col min="15" max="15" width="21.7109375" style="115" customWidth="1"/>
    <col min="16" max="16" width="19.85546875" style="2" customWidth="1"/>
    <col min="17" max="17" width="26" style="2" customWidth="1"/>
    <col min="18" max="18" width="39.42578125" style="2" customWidth="1"/>
    <col min="19" max="19" width="27" style="5" customWidth="1"/>
    <col min="20" max="20" width="81.5703125" style="2" customWidth="1"/>
    <col min="21" max="22" width="30.42578125" style="2" customWidth="1"/>
    <col min="23" max="23" width="26.7109375" style="441" customWidth="1"/>
    <col min="24" max="24" width="30.42578125" style="2" customWidth="1"/>
    <col min="25" max="25" width="36" style="2" hidden="1" customWidth="1"/>
    <col min="26" max="26" width="0" style="2" hidden="1" customWidth="1"/>
    <col min="27" max="73" width="11.42578125" style="2" hidden="1" customWidth="1"/>
    <col min="74" max="74" width="11.42578125" style="2" customWidth="1"/>
    <col min="75" max="16384" width="11.42578125" style="2"/>
  </cols>
  <sheetData>
    <row r="1" spans="1:73" ht="21" customHeight="1" x14ac:dyDescent="0.25">
      <c r="A1" s="573"/>
      <c r="B1" s="573"/>
      <c r="C1" s="573"/>
      <c r="D1" s="573"/>
      <c r="E1" s="72"/>
      <c r="F1" s="574" t="s">
        <v>0</v>
      </c>
      <c r="G1" s="575"/>
      <c r="H1" s="575"/>
      <c r="I1" s="575"/>
      <c r="J1" s="575"/>
      <c r="K1" s="575"/>
      <c r="L1" s="575"/>
      <c r="M1" s="575"/>
      <c r="N1" s="575"/>
      <c r="O1" s="575"/>
      <c r="P1" s="575"/>
      <c r="Q1" s="575"/>
      <c r="R1" s="575"/>
      <c r="S1" s="575"/>
      <c r="T1" s="576"/>
      <c r="U1" s="583" t="s">
        <v>223</v>
      </c>
      <c r="V1" s="584"/>
      <c r="W1" s="450"/>
      <c r="X1" s="1"/>
      <c r="Y1" s="1"/>
    </row>
    <row r="2" spans="1:73" ht="22.5" customHeight="1" x14ac:dyDescent="0.25">
      <c r="A2" s="573"/>
      <c r="B2" s="573"/>
      <c r="C2" s="573"/>
      <c r="D2" s="573"/>
      <c r="E2" s="73"/>
      <c r="F2" s="577"/>
      <c r="G2" s="578"/>
      <c r="H2" s="578"/>
      <c r="I2" s="578"/>
      <c r="J2" s="578"/>
      <c r="K2" s="578"/>
      <c r="L2" s="578"/>
      <c r="M2" s="578"/>
      <c r="N2" s="578"/>
      <c r="O2" s="578"/>
      <c r="P2" s="578"/>
      <c r="Q2" s="578"/>
      <c r="R2" s="578"/>
      <c r="S2" s="578"/>
      <c r="T2" s="579"/>
      <c r="U2" s="610" t="s">
        <v>149</v>
      </c>
      <c r="V2" s="610"/>
      <c r="W2" s="610"/>
      <c r="X2" s="610"/>
      <c r="Y2" s="1"/>
    </row>
    <row r="3" spans="1:73" ht="21" customHeight="1" x14ac:dyDescent="0.25">
      <c r="A3" s="573"/>
      <c r="B3" s="573"/>
      <c r="C3" s="573"/>
      <c r="D3" s="573"/>
      <c r="E3" s="73"/>
      <c r="F3" s="577"/>
      <c r="G3" s="578"/>
      <c r="H3" s="578"/>
      <c r="I3" s="578"/>
      <c r="J3" s="578"/>
      <c r="K3" s="578"/>
      <c r="L3" s="578"/>
      <c r="M3" s="578"/>
      <c r="N3" s="578"/>
      <c r="O3" s="578"/>
      <c r="P3" s="578"/>
      <c r="Q3" s="578"/>
      <c r="R3" s="578"/>
      <c r="S3" s="578"/>
      <c r="T3" s="579"/>
      <c r="U3" s="610" t="s">
        <v>150</v>
      </c>
      <c r="V3" s="610"/>
      <c r="W3" s="610"/>
      <c r="X3" s="610"/>
      <c r="Y3" s="1"/>
    </row>
    <row r="4" spans="1:73" ht="20.25" customHeight="1" x14ac:dyDescent="0.25">
      <c r="A4" s="573"/>
      <c r="B4" s="573"/>
      <c r="C4" s="573"/>
      <c r="D4" s="573"/>
      <c r="E4" s="74"/>
      <c r="F4" s="580"/>
      <c r="G4" s="581"/>
      <c r="H4" s="581"/>
      <c r="I4" s="581"/>
      <c r="J4" s="581"/>
      <c r="K4" s="581"/>
      <c r="L4" s="581"/>
      <c r="M4" s="581"/>
      <c r="N4" s="581"/>
      <c r="O4" s="581"/>
      <c r="P4" s="581"/>
      <c r="Q4" s="581"/>
      <c r="R4" s="581"/>
      <c r="S4" s="581"/>
      <c r="T4" s="582"/>
      <c r="U4" s="583" t="s">
        <v>1</v>
      </c>
      <c r="V4" s="584"/>
      <c r="W4" s="450"/>
      <c r="X4" s="1"/>
      <c r="Y4" s="1"/>
    </row>
    <row r="5" spans="1:73" ht="8.25" customHeight="1" x14ac:dyDescent="0.25">
      <c r="B5" s="3"/>
      <c r="C5" s="116"/>
      <c r="D5" s="3"/>
      <c r="E5" s="116"/>
      <c r="F5" s="4"/>
      <c r="G5" s="117"/>
      <c r="H5" s="4"/>
      <c r="I5" s="117"/>
      <c r="J5" s="4"/>
      <c r="K5" s="4"/>
      <c r="L5" s="4"/>
      <c r="M5" s="4"/>
      <c r="N5" s="4"/>
      <c r="O5" s="117"/>
      <c r="P5" s="4"/>
      <c r="Q5" s="4"/>
      <c r="X5" s="6"/>
      <c r="Y5" s="6"/>
    </row>
    <row r="6" spans="1:73" ht="15" x14ac:dyDescent="0.25">
      <c r="A6" s="553" t="s">
        <v>2</v>
      </c>
      <c r="B6" s="553"/>
      <c r="C6" s="553"/>
      <c r="D6" s="553"/>
      <c r="E6" s="75"/>
      <c r="F6" s="567" t="s">
        <v>67</v>
      </c>
      <c r="G6" s="568"/>
      <c r="H6" s="568"/>
      <c r="I6" s="568"/>
      <c r="J6" s="568"/>
      <c r="K6" s="568"/>
      <c r="L6" s="568"/>
      <c r="M6" s="568"/>
      <c r="N6" s="568"/>
      <c r="O6" s="568"/>
      <c r="P6" s="568"/>
      <c r="Q6" s="568"/>
      <c r="R6" s="568"/>
      <c r="S6" s="568"/>
      <c r="T6" s="568"/>
      <c r="U6" s="568"/>
      <c r="V6" s="569"/>
      <c r="W6" s="445"/>
      <c r="X6" s="6"/>
      <c r="Y6" s="6"/>
    </row>
    <row r="7" spans="1:73" ht="6.75" customHeight="1" x14ac:dyDescent="0.25">
      <c r="B7" s="3"/>
      <c r="C7" s="116"/>
      <c r="D7" s="3"/>
      <c r="E7" s="116"/>
      <c r="F7" s="7"/>
      <c r="G7" s="121"/>
      <c r="H7" s="7"/>
      <c r="I7" s="121"/>
      <c r="J7" s="7"/>
      <c r="K7" s="7"/>
      <c r="L7" s="7"/>
      <c r="M7" s="7"/>
      <c r="N7" s="7"/>
      <c r="O7" s="121"/>
      <c r="P7" s="7"/>
      <c r="Q7" s="7"/>
      <c r="R7" s="8"/>
      <c r="S7" s="8"/>
      <c r="T7" s="8"/>
      <c r="U7" s="8"/>
      <c r="V7" s="8"/>
      <c r="W7" s="444"/>
      <c r="X7" s="6"/>
      <c r="Y7" s="6"/>
    </row>
    <row r="8" spans="1:73" ht="39.75" customHeight="1" x14ac:dyDescent="0.25">
      <c r="A8" s="553" t="s">
        <v>3</v>
      </c>
      <c r="B8" s="553"/>
      <c r="C8" s="553"/>
      <c r="D8" s="553"/>
      <c r="E8" s="75"/>
      <c r="F8" s="570" t="str">
        <f>[17]IdentRiesgo!B3</f>
        <v>Brindar el apoyo logístico mediante el suministro de materiales, equipos, elementos y servicios con el fin de proporcionar un ambiente adecuado de trabajo y satisfacer las necesidades de bienes y servicios requeridos para el excelente funcionamiento del IDEAM</v>
      </c>
      <c r="G8" s="571"/>
      <c r="H8" s="571"/>
      <c r="I8" s="571"/>
      <c r="J8" s="571"/>
      <c r="K8" s="571"/>
      <c r="L8" s="571"/>
      <c r="M8" s="571"/>
      <c r="N8" s="571"/>
      <c r="O8" s="571"/>
      <c r="P8" s="571"/>
      <c r="Q8" s="571"/>
      <c r="R8" s="571"/>
      <c r="S8" s="571"/>
      <c r="T8" s="571"/>
      <c r="U8" s="571"/>
      <c r="V8" s="572"/>
      <c r="W8" s="451"/>
      <c r="X8" s="9"/>
      <c r="Y8" s="9"/>
    </row>
    <row r="9" spans="1:73" ht="6.75" customHeight="1" x14ac:dyDescent="0.25">
      <c r="B9" s="10"/>
      <c r="C9" s="119"/>
      <c r="D9" s="10"/>
      <c r="E9" s="119"/>
      <c r="F9" s="11"/>
      <c r="G9" s="122"/>
      <c r="H9" s="11"/>
      <c r="I9" s="122"/>
      <c r="J9" s="11"/>
      <c r="K9" s="11"/>
      <c r="L9" s="11"/>
      <c r="M9" s="11"/>
      <c r="N9" s="11"/>
      <c r="O9" s="122"/>
      <c r="P9" s="11"/>
      <c r="Q9" s="11"/>
      <c r="R9" s="8"/>
      <c r="S9" s="8"/>
      <c r="T9" s="8"/>
      <c r="U9" s="8"/>
      <c r="V9" s="8"/>
      <c r="W9" s="444"/>
      <c r="X9" s="6"/>
      <c r="Y9" s="6"/>
    </row>
    <row r="10" spans="1:73" ht="15" x14ac:dyDescent="0.25">
      <c r="A10" s="553" t="s">
        <v>4</v>
      </c>
      <c r="B10" s="553"/>
      <c r="C10" s="553"/>
      <c r="D10" s="553"/>
      <c r="E10" s="75"/>
      <c r="F10" s="554" t="s">
        <v>68</v>
      </c>
      <c r="G10" s="555"/>
      <c r="H10" s="555"/>
      <c r="I10" s="555"/>
      <c r="J10" s="555"/>
      <c r="K10" s="555"/>
      <c r="L10" s="555"/>
      <c r="M10" s="555"/>
      <c r="N10" s="555"/>
      <c r="O10" s="555"/>
      <c r="P10" s="555"/>
      <c r="Q10" s="555"/>
      <c r="R10" s="555"/>
      <c r="S10" s="555"/>
      <c r="T10" s="555"/>
      <c r="U10" s="555"/>
      <c r="V10" s="556"/>
      <c r="W10" s="443"/>
      <c r="X10" s="12"/>
      <c r="Y10" s="12"/>
    </row>
    <row r="11" spans="1:73" ht="5.25" customHeight="1" x14ac:dyDescent="0.25">
      <c r="B11" s="3"/>
      <c r="C11" s="116"/>
      <c r="D11" s="3"/>
      <c r="E11" s="116"/>
      <c r="F11" s="13"/>
      <c r="G11" s="141"/>
      <c r="H11" s="13"/>
      <c r="I11" s="141"/>
      <c r="J11" s="13"/>
      <c r="K11" s="13"/>
      <c r="L11" s="13"/>
      <c r="M11" s="13"/>
      <c r="N11" s="13"/>
      <c r="O11" s="141"/>
      <c r="P11" s="13"/>
      <c r="Q11" s="13"/>
      <c r="R11" s="8"/>
      <c r="S11" s="8"/>
      <c r="T11" s="8"/>
      <c r="U11" s="8"/>
      <c r="V11" s="8"/>
      <c r="W11" s="444"/>
      <c r="X11" s="6"/>
      <c r="Y11" s="6"/>
    </row>
    <row r="12" spans="1:73" ht="15.75" x14ac:dyDescent="0.25">
      <c r="A12" s="553" t="s">
        <v>5</v>
      </c>
      <c r="B12" s="553"/>
      <c r="C12" s="553"/>
      <c r="D12" s="553"/>
      <c r="E12" s="75"/>
      <c r="F12" s="585">
        <v>43496</v>
      </c>
      <c r="G12" s="586"/>
      <c r="H12" s="586"/>
      <c r="I12" s="586"/>
      <c r="J12" s="586"/>
      <c r="K12" s="586"/>
      <c r="L12" s="586"/>
      <c r="M12" s="586"/>
      <c r="N12" s="586"/>
      <c r="O12" s="586"/>
      <c r="P12" s="586"/>
      <c r="Q12" s="586"/>
      <c r="R12" s="586"/>
      <c r="S12" s="586"/>
      <c r="T12" s="586"/>
      <c r="U12" s="586"/>
      <c r="V12" s="587"/>
      <c r="W12" s="457"/>
      <c r="X12" s="12"/>
      <c r="Y12" s="12"/>
      <c r="AB12" s="2" t="s">
        <v>6</v>
      </c>
    </row>
    <row r="13" spans="1:73" ht="15.75" thickBot="1" x14ac:dyDescent="0.3">
      <c r="B13" s="3"/>
      <c r="C13" s="116"/>
      <c r="D13" s="3"/>
      <c r="E13" s="116"/>
      <c r="F13" s="14"/>
      <c r="G13" s="123"/>
      <c r="H13" s="15"/>
      <c r="I13" s="120"/>
      <c r="J13" s="15"/>
      <c r="K13" s="7"/>
      <c r="L13" s="15"/>
      <c r="M13" s="7"/>
      <c r="N13" s="7"/>
      <c r="O13" s="121"/>
      <c r="P13" s="7"/>
      <c r="Q13" s="7"/>
      <c r="R13" s="7"/>
      <c r="S13" s="15"/>
      <c r="T13" s="7"/>
      <c r="X13" s="6"/>
      <c r="Y13" s="6"/>
      <c r="AB13" s="2" t="s">
        <v>7</v>
      </c>
      <c r="AH13" s="557" t="s">
        <v>8</v>
      </c>
      <c r="AI13" s="557"/>
      <c r="AJ13" s="557"/>
      <c r="AK13" s="557"/>
      <c r="AL13" s="557"/>
      <c r="AM13" s="557"/>
      <c r="AN13" s="557"/>
      <c r="AO13" s="557"/>
      <c r="AP13" s="557"/>
      <c r="AQ13" s="557"/>
      <c r="AR13" s="557"/>
      <c r="AS13" s="557"/>
      <c r="AT13" s="557"/>
      <c r="AU13" s="557"/>
      <c r="AV13" s="557"/>
      <c r="AW13" s="557"/>
      <c r="AX13" s="557"/>
      <c r="AY13" s="557"/>
      <c r="AZ13" s="557"/>
      <c r="BB13" s="557" t="s">
        <v>9</v>
      </c>
      <c r="BC13" s="557"/>
      <c r="BD13" s="557"/>
      <c r="BE13" s="557"/>
      <c r="BF13" s="557"/>
      <c r="BG13" s="557"/>
      <c r="BH13" s="557"/>
      <c r="BI13" s="557"/>
      <c r="BJ13" s="557"/>
      <c r="BK13" s="557"/>
      <c r="BL13" s="557"/>
      <c r="BM13" s="557"/>
      <c r="BN13" s="557"/>
      <c r="BO13" s="557"/>
      <c r="BP13" s="557"/>
      <c r="BQ13" s="557"/>
      <c r="BR13" s="557"/>
      <c r="BS13" s="557"/>
      <c r="BT13" s="557"/>
      <c r="BU13" s="557"/>
    </row>
    <row r="14" spans="1:73" s="17" customFormat="1" ht="15" customHeight="1" x14ac:dyDescent="0.25">
      <c r="A14" s="558" t="s">
        <v>10</v>
      </c>
      <c r="B14" s="559"/>
      <c r="C14" s="559"/>
      <c r="D14" s="560"/>
      <c r="E14" s="76"/>
      <c r="F14" s="561" t="s">
        <v>11</v>
      </c>
      <c r="G14" s="561"/>
      <c r="H14" s="561"/>
      <c r="I14" s="136"/>
      <c r="J14" s="16"/>
      <c r="K14" s="562" t="s">
        <v>12</v>
      </c>
      <c r="L14" s="558" t="s">
        <v>13</v>
      </c>
      <c r="M14" s="559"/>
      <c r="N14" s="560"/>
      <c r="O14" s="142"/>
      <c r="P14" s="565" t="s">
        <v>14</v>
      </c>
      <c r="Q14" s="565"/>
      <c r="R14" s="565"/>
      <c r="S14" s="565" t="s">
        <v>15</v>
      </c>
      <c r="T14" s="565"/>
      <c r="U14" s="561"/>
      <c r="V14" s="561"/>
      <c r="W14" s="452"/>
    </row>
    <row r="15" spans="1:73" s="17" customFormat="1" ht="14.25" customHeight="1" x14ac:dyDescent="0.25">
      <c r="A15" s="563" t="s">
        <v>16</v>
      </c>
      <c r="B15" s="563" t="s">
        <v>17</v>
      </c>
      <c r="C15" s="143"/>
      <c r="D15" s="563" t="s">
        <v>18</v>
      </c>
      <c r="E15" s="143"/>
      <c r="F15" s="543" t="s">
        <v>19</v>
      </c>
      <c r="G15" s="543"/>
      <c r="H15" s="543"/>
      <c r="I15" s="137"/>
      <c r="J15" s="18"/>
      <c r="K15" s="563"/>
      <c r="L15" s="548" t="s">
        <v>20</v>
      </c>
      <c r="M15" s="549"/>
      <c r="N15" s="550"/>
      <c r="O15" s="144"/>
      <c r="P15" s="548" t="s">
        <v>21</v>
      </c>
      <c r="Q15" s="549"/>
      <c r="R15" s="550"/>
      <c r="S15" s="543" t="s">
        <v>22</v>
      </c>
      <c r="T15" s="543" t="s">
        <v>23</v>
      </c>
      <c r="U15" s="543" t="s">
        <v>4</v>
      </c>
      <c r="V15" s="543" t="s">
        <v>24</v>
      </c>
      <c r="W15" s="493"/>
    </row>
    <row r="16" spans="1:73" s="17" customFormat="1" ht="63" customHeight="1" x14ac:dyDescent="0.25">
      <c r="A16" s="566"/>
      <c r="B16" s="566"/>
      <c r="C16" s="138" t="s">
        <v>70</v>
      </c>
      <c r="D16" s="566"/>
      <c r="E16" s="138" t="s">
        <v>71</v>
      </c>
      <c r="F16" s="18" t="s">
        <v>25</v>
      </c>
      <c r="G16" s="137" t="s">
        <v>70</v>
      </c>
      <c r="H16" s="18" t="s">
        <v>9</v>
      </c>
      <c r="I16" s="137" t="s">
        <v>70</v>
      </c>
      <c r="J16" s="18" t="s">
        <v>26</v>
      </c>
      <c r="K16" s="564"/>
      <c r="L16" s="18" t="s">
        <v>25</v>
      </c>
      <c r="M16" s="18" t="s">
        <v>9</v>
      </c>
      <c r="N16" s="20" t="s">
        <v>26</v>
      </c>
      <c r="O16" s="138" t="s">
        <v>74</v>
      </c>
      <c r="P16" s="18" t="s">
        <v>27</v>
      </c>
      <c r="Q16" s="18" t="s">
        <v>23</v>
      </c>
      <c r="R16" s="18" t="s">
        <v>28</v>
      </c>
      <c r="S16" s="543"/>
      <c r="T16" s="543"/>
      <c r="U16" s="543"/>
      <c r="V16" s="543"/>
      <c r="W16" s="493"/>
    </row>
    <row r="17" spans="1:71" ht="409.6" customHeight="1" x14ac:dyDescent="0.25">
      <c r="A17" s="359" t="s">
        <v>99</v>
      </c>
      <c r="B17" s="359" t="s">
        <v>100</v>
      </c>
      <c r="C17" s="359" t="s">
        <v>101</v>
      </c>
      <c r="D17" s="359" t="s">
        <v>102</v>
      </c>
      <c r="E17" s="360" t="s">
        <v>81</v>
      </c>
      <c r="F17" s="361">
        <v>1</v>
      </c>
      <c r="G17" s="361" t="s">
        <v>83</v>
      </c>
      <c r="H17" s="362">
        <v>20</v>
      </c>
      <c r="I17" s="362" t="s">
        <v>84</v>
      </c>
      <c r="J17" s="363" t="s">
        <v>40</v>
      </c>
      <c r="K17" s="367" t="s">
        <v>103</v>
      </c>
      <c r="L17" s="551" t="s">
        <v>9</v>
      </c>
      <c r="M17" s="552"/>
      <c r="N17" s="363" t="s">
        <v>39</v>
      </c>
      <c r="O17" s="364" t="s">
        <v>89</v>
      </c>
      <c r="P17" s="365" t="s">
        <v>97</v>
      </c>
      <c r="Q17" s="366" t="s">
        <v>104</v>
      </c>
      <c r="R17" s="366" t="s">
        <v>98</v>
      </c>
      <c r="S17" s="511"/>
      <c r="T17" s="513"/>
      <c r="U17" s="394" t="s">
        <v>216</v>
      </c>
      <c r="V17" s="427"/>
      <c r="W17" s="366"/>
      <c r="Y17" s="26" t="str">
        <f>IF(AND(F17=1,H17=5),$H$24,IF(AND(F17=1,H17=10),$J$24,IF(AND(F17=1,H17=20),$K$24," ")))</f>
        <v>M</v>
      </c>
      <c r="Z17" s="26" t="str">
        <f>IF(AND(F17=2,H17=5),$H$25,IF(AND(F17=2,H17=10),$J$25,IF(AND(F17=2,H17=20),$K$25," ")))</f>
        <v xml:space="preserve"> </v>
      </c>
      <c r="AA17" s="26" t="str">
        <f>IF(AND(F17=3,H17=5),$H$26,IF(AND(F17=3,H17=10),$J$26,IF(AND(F17=3,H17=20),$K$26," ")))</f>
        <v xml:space="preserve"> </v>
      </c>
      <c r="AB17" s="26" t="str">
        <f>IF(AND(F17=4,H17=5),$H$27,IF(AND(F17=4,H17=10),$J$27,IF(AND(F17=4,H17=20),$K$27," ")))</f>
        <v xml:space="preserve"> </v>
      </c>
      <c r="AC17" s="26" t="str">
        <f>IF(AND(F17=5,H17=5),$H$28,IF(AND(F17=5,H17=10),$J$28,IF(AND(F17=5,H17=20),$K$28," ")))</f>
        <v xml:space="preserve"> </v>
      </c>
      <c r="AF17" s="26" t="str">
        <f>IF(AND(L17&gt;0,'[17]EvaluaciónRiesgoCorrup 1'!$F$11&gt;75,F17=1,H17=5),$H$24,IF(AND(L17&gt;0,'[17]EvaluaciónRiesgoCorrup 1'!$F$11&gt;75,F17=1,H17=10),$J$24,IF(AND(L17&gt;0,'[17]EvaluaciónRiesgoCorrup 1'!$F$11&gt;75,F17=1,H17=20),$K$24," ")))</f>
        <v>M</v>
      </c>
      <c r="AG17" s="26" t="str">
        <f>IF(AND(L17&gt;0,'[17]EvaluaciónRiesgoCorrup 1'!$F$11&gt;75,F17=2,H17=5),$H$24,IF(AND(L17&gt;0,'[17]EvaluaciónRiesgoCorrup 1'!$F$11&gt;75,F17=2,H17=10),$J$24,IF(AND(L17&gt;0,'[17]EvaluaciónRiesgoCorrup 1'!$F$11&gt;75,F17=2,H17=20),$K$24," ")))</f>
        <v xml:space="preserve"> </v>
      </c>
      <c r="AH17" s="26" t="str">
        <f>IF(AND(L17&gt;0,'[17]EvaluaciónRiesgoCorrup 1'!$F$11&gt;75,F17=3,H17=5),$H$24,IF(AND(L17&gt;0,'[17]EvaluaciónRiesgoCorrup 1'!$F$11&gt;75,F17=3,H17=10),$J$24,IF(AND(L17&gt;0,'[17]EvaluaciónRiesgoCorrup 1'!$F$11&gt;75,F17=3,H17=20),$K$24," ")))</f>
        <v xml:space="preserve"> </v>
      </c>
      <c r="AI17" s="26" t="str">
        <f>IF(AND(L17&gt;0,'[17]EvaluaciónRiesgoCorrup 1'!$F$11&gt;75,F17=4,H17=5),$H$25,IF(AND(L17&gt;0,'[17]EvaluaciónRiesgoCorrup 1'!$F$11&gt;75,F17=4,H17=10),$J$25,IF(AND(L17&gt;0,'[17]EvaluaciónRiesgoCorrup 1'!$F$11&gt;75,F17=4,H17=20),$K$25," ")))</f>
        <v xml:space="preserve"> </v>
      </c>
      <c r="AJ17" s="26" t="str">
        <f>IF(AND(L17&gt;0,'[17]EvaluaciónRiesgoCorrup 1'!$F$11&gt;75,F17=5,H17=5),$H$26,IF(AND(L17&gt;0,'[17]EvaluaciónRiesgoCorrup 1'!$F$11&gt;75,F17=5,H17=10),$J$26,IF(AND(L17&gt;0,'[17]EvaluaciónRiesgoCorrup 1'!$F$11&gt;75,F17=5,H17=20),$K$26," ")))</f>
        <v xml:space="preserve"> </v>
      </c>
      <c r="AL17" s="26" t="str">
        <f>IF(AND(L17&gt;0,'[17]EvaluaciónRiesgoCorrup 1'!$F$11&gt;50,'[17]EvaluaciónRiesgoCorrup 1'!$F$11&lt;76,F17=1,H17=5),$H$24,IF(AND(L17&gt;0,'[17]EvaluaciónRiesgoCorrup 1'!$F$11&gt;50,'[17]EvaluaciónRiesgoCorrup 1'!$F$11&lt;76,F17=1,H17=10),$J$24,IF(AND(L17&gt;0,'[17]EvaluaciónRiesgoCorrup 1'!$F$11&gt;50,'[17]EvaluaciónRiesgoCorrup 1'!$F$11&lt;76,F17=1,H17=20),$K$24," ")))</f>
        <v xml:space="preserve"> </v>
      </c>
      <c r="AM17" s="26" t="str">
        <f>IF(AND(L17&gt;0,'[17]EvaluaciónRiesgoCorrup 1'!$F$11&gt;50,'[17]EvaluaciónRiesgoCorrup 1'!$F$11&lt;76,F17=2,H17=5),$H$24,IF(AND(L17&gt;0,'[17]EvaluaciónRiesgoCorrup 1'!$F$11&gt;50,'[17]EvaluaciónRiesgoCorrup 1'!$F$11&lt;76,F17=2,H17=10),$J$24,IF(AND(L17&gt;0,'[17]EvaluaciónRiesgoCorrup 1'!$F$11&gt;50,'[17]EvaluaciónRiesgoCorrup 1'!$F$11&lt;76,F17=2,H17=20),$K$24," ")))</f>
        <v xml:space="preserve"> </v>
      </c>
      <c r="AN17" s="26" t="str">
        <f>IF(AND(L17&gt;0,'[17]EvaluaciónRiesgoCorrup 1'!$F$11&gt;50,'[17]EvaluaciónRiesgoCorrup 1'!$F$11&lt;76,F17=3,H17=5),$H$25,IF(AND(L17&gt;0,'[17]EvaluaciónRiesgoCorrup 1'!$F$11&gt;50,'[17]EvaluaciónRiesgoCorrup 1'!$F$11&lt;76,F17=3,H17=10),$J$25,IF(AND(L17&gt;0,'[17]EvaluaciónRiesgoCorrup 1'!$F$11&gt;50,'[17]EvaluaciónRiesgoCorrup 1'!$F$11&lt;76,F17=3,H17=20),$K$25," ")))</f>
        <v xml:space="preserve"> </v>
      </c>
      <c r="AO17" s="26" t="str">
        <f>IF(AND(L17&gt;0,'[17]EvaluaciónRiesgoCorrup 1'!$F$11&gt;50,'[17]EvaluaciónRiesgoCorrup 1'!$F$11&lt;76,F17=4,H17=5),$H$26,IF(AND(L17&gt;0,'[17]EvaluaciónRiesgoCorrup 1'!$F$11&gt;50,'[17]EvaluaciónRiesgoCorrup 1'!$F$11&lt;76,F17=4,H17=10),$J$26,IF(AND(L17&gt;0,'[17]EvaluaciónRiesgoCorrup 1'!$F$11&gt;50,'[17]EvaluaciónRiesgoCorrup 1'!$F$11&lt;76,F17=4,H17=20),$K$26," ")))</f>
        <v xml:space="preserve"> </v>
      </c>
      <c r="AP17" s="26" t="str">
        <f>IF(AND(L17&gt;0,'[17]EvaluaciónRiesgoCorrup 1'!$F$11&gt;50,'[17]EvaluaciónRiesgoCorrup 1'!$F$11&lt;76,F17=5,H17=5),$H$27,IF(AND(L17&gt;0,'[17]EvaluaciónRiesgoCorrup 1'!$F$11&gt;50,'[17]EvaluaciónRiesgoCorrup 1'!$F$11&lt;76,F17=5,H17=10),$J$27,IF(AND(L17&gt;0,'[17]EvaluaciónRiesgoCorrup 1'!$F$11&gt;50,'[17]EvaluaciónRiesgoCorrup 1'!$F$11&lt;76,F17=5,H17=20),$K$27," ")))</f>
        <v xml:space="preserve"> </v>
      </c>
      <c r="AS17" s="26" t="str">
        <f>IF(AND(L17&gt;0,'[17]EvaluaciónRiesgoCorrup 1'!$F$11&lt;51,F17=1,H17=5),$H$24,IF(AND(L17&gt;0,'[17]EvaluaciónRiesgoCorrup 1'!$F$11&lt;51,F17=1,H17=10),$J$24,IF(AND(L17&gt;0,'[17]EvaluaciónRiesgoCorrup 1'!$F$11&lt;51,F17=1,H17=20),K$24," ")))</f>
        <v xml:space="preserve"> </v>
      </c>
      <c r="AT17" s="26" t="str">
        <f>IF(AND(L17&gt;0,'[17]EvaluaciónRiesgoCorrup 1'!$F$11&lt;51,F17=2,H17=5),$H$25,IF(AND(L17&gt;0,'[17]EvaluaciónRiesgoCorrup 1'!$F$11&lt;51,F17=2,H17=10),$J$25,IF(AND(L17&gt;0,'[17]EvaluaciónRiesgoCorrup 1'!$F$11&lt;51,F17=2,H17=20),K$25," ")))</f>
        <v xml:space="preserve"> </v>
      </c>
      <c r="AU17" s="26" t="str">
        <f>IF(AND(L17&gt;0,'[17]EvaluaciónRiesgoCorrup 1'!$F$11&lt;51,F17=3,H17=5),$H$26,IF(AND(L17&gt;0,'[17]EvaluaciónRiesgoCorrup 1'!$F$11&lt;51,F17=3,H17=10),$J$26,IF(AND(L17&gt;0,'[17]EvaluaciónRiesgoCorrup 1'!$F$11&lt;51,F17=3,H17=20),K$26," ")))</f>
        <v xml:space="preserve"> </v>
      </c>
      <c r="AV17" s="26" t="str">
        <f>IF(AND(L17&gt;0,'[17]EvaluaciónRiesgoCorrup 1'!$F$11&lt;51,F17=4,H17=5),$H$27,IF(AND(L17&gt;0,'[17]EvaluaciónRiesgoCorrup 1'!$F$11&lt;51,F17=4,H17=10),$J$27,IF(AND(L17&gt;0,'[17]EvaluaciónRiesgoCorrup 1'!$F$11&lt;51,F17=4,H17=20),K$27," ")))</f>
        <v xml:space="preserve"> </v>
      </c>
      <c r="AW17" s="26" t="str">
        <f>IF(AND(L17&gt;0,'[17]EvaluaciónRiesgoCorrup 1'!$F$11&lt;51,F17=5,H17=5),$H$28,IF(AND(L17&gt;0,'[17]EvaluaciónRiesgoCorrup 1'!$F$11&lt;51,F17=5,H17=10),$J$28,IF(AND(L17&gt;0,'[17]EvaluaciónRiesgoCorrup 1'!$F$11&lt;51,F17=5,H17=20),K$28," ")))</f>
        <v xml:space="preserve"> </v>
      </c>
      <c r="BA17" s="26" t="str">
        <f>IF(AND(M17&gt;0,'[17]EvaluaciónRiesgoCorrup 1'!$F$11&gt;75,F17=1,H17=5),$H$24,IF(AND(M17&gt;0,'[17]EvaluaciónRiesgoCorrup 1'!$F$11&gt;75,F17=1,H17=10),$H$24,IF(AND(M17&gt;0,'[17]EvaluaciónRiesgoCorrup 1'!$F$11&gt;75,F17=1,H17=20),$H$24," ")))</f>
        <v xml:space="preserve"> </v>
      </c>
      <c r="BB17" s="26" t="str">
        <f>IF(AND(M17&gt;0,'[17]EvaluaciónRiesgoCorrup 1'!$F$11&gt;75,F17=2,H17=5),$H$25,IF(AND(M17&gt;0,'[17]EvaluaciónRiesgoCorrup 1'!$F$11&gt;75,F17=2,H17=10),$H$25,IF(AND(M17&gt;0,'[17]EvaluaciónRiesgoCorrup 1'!$F$11&gt;75,F17=2,H17=20),$H$25," ")))</f>
        <v xml:space="preserve"> </v>
      </c>
      <c r="BC17" s="26" t="str">
        <f>IF(AND(M17&gt;0,'[17]EvaluaciónRiesgoCorrup 1'!$F$11&gt;75,F17=3,H17=5),$H$26,IF(AND(M17&gt;0,'[17]EvaluaciónRiesgoCorrup 1'!$F$11&gt;75,F17=3,H17=10),$H$26,IF(AND(M17&gt;0,'[17]EvaluaciónRiesgoCorrup 1'!$F$11&gt;75,F17=3,H17=20),$H$26," ")))</f>
        <v xml:space="preserve"> </v>
      </c>
      <c r="BD17" s="26" t="str">
        <f>IF(AND(M17&gt;0,'[17]EvaluaciónRiesgoCorrup 1'!$F$11&gt;75,F17=4,H17=5),$H$27,IF(AND(M17&gt;0,'[17]EvaluaciónRiesgoCorrup 1'!$F$11&gt;75,F17=4,H17=10),$H$27,IF(AND(M17&gt;0,'[17]EvaluaciónRiesgoCorrup 1'!$F$11&gt;75,F17=4,H17=20),$H$27," ")))</f>
        <v xml:space="preserve"> </v>
      </c>
      <c r="BE17" s="26" t="str">
        <f>IF(AND(M17&gt;0,'[17]EvaluaciónRiesgoCorrup 1'!$F$11&gt;75,F17=5,H17=5),$H$28,IF(AND(M17&gt;0,'[17]EvaluaciónRiesgoCorrup 1'!$F$11&gt;75,F17=5,H17=10),$H$28,IF(AND(M17&gt;0,'[17]EvaluaciónRiesgoCorrup 1'!$F$11&gt;75,F17=5,H17=20),$H$28," ")))</f>
        <v xml:space="preserve"> </v>
      </c>
      <c r="BH17" s="26" t="str">
        <f>IF(AND(M17&gt;0,'[17]EvaluaciónRiesgoCorrup 1'!$F$11&gt;50,'[17]EvaluaciónRiesgoCorrup 1'!$F$11&lt;76,F17=1,H17=5),$H$24,IF(AND(M17&gt;0,'[17]EvaluaciónRiesgoCorrup 1'!$F$11&gt;50,'[17]EvaluaciónRiesgoCorrup 1'!$F$11&lt;76,F17=1,H17=10),$H$24,IF(AND(M17&gt;0,'[17]EvaluaciónRiesgoCorrup 1'!$F$11&gt;50,'[17]EvaluaciónRiesgoCorrup 1'!$F$11&lt;76,F17=1,H17=20),$J$24," ")))</f>
        <v xml:space="preserve"> </v>
      </c>
      <c r="BI17" s="26" t="str">
        <f>IF(AND(M17&gt;0,'[17]EvaluaciónRiesgoCorrup 1'!$F$11&gt;50,'[17]EvaluaciónRiesgoCorrup 1'!$F$11&lt;76,F17=2,H17=5),$H$25,IF(AND(M17&gt;0,'[17]EvaluaciónRiesgoCorrup 1'!$F$11&gt;50,'[17]EvaluaciónRiesgoCorrup 1'!$F$11&lt;76,F17=2,H17=10),$H$25,IF(AND(M17&gt;0,'[17]EvaluaciónRiesgoCorrup 1'!$F$11&gt;50,'[17]EvaluaciónRiesgoCorrup 1'!$F$11&lt;76,F17=2,H17=20),$J$25," ")))</f>
        <v xml:space="preserve"> </v>
      </c>
      <c r="BJ17" s="26" t="str">
        <f>IF(AND(M17&gt;0,'[17]EvaluaciónRiesgoCorrup 1'!$F$11&gt;50,'[17]EvaluaciónRiesgoCorrup 1'!$F$11&lt;76,F17=3,H17=5),$H$26,IF(AND(M17&gt;0,'[17]EvaluaciónRiesgoCorrup 1'!$F$11&gt;50,'[17]EvaluaciónRiesgoCorrup 1'!$F$11&lt;76,F17=3,H17=10),$H$26,IF(AND(M17&gt;0,'[17]EvaluaciónRiesgoCorrup 1'!$F$11&gt;50,'[17]EvaluaciónRiesgoCorrup 1'!$F$11&lt;76,F17=3,H17=20),$J$26," ")))</f>
        <v xml:space="preserve"> </v>
      </c>
      <c r="BK17" s="26" t="str">
        <f>IF(AND(M17&gt;0,'[17]EvaluaciónRiesgoCorrup 1'!$F$11&gt;50,'[17]EvaluaciónRiesgoCorrup 1'!$F$11&lt;76,F17=4,H17=5),$H$27,IF(AND(M17&gt;0,'[17]EvaluaciónRiesgoCorrup 1'!$F$11&gt;50,'[17]EvaluaciónRiesgoCorrup 1'!$F$11&lt;76,F17=4,H17=10),$H$27,IF(AND(M17&gt;0,'[17]EvaluaciónRiesgoCorrup 1'!$F$11&gt;50,'[17]EvaluaciónRiesgoCorrup 1'!$F$11&lt;76,F17=4,H17=20),$J$27," ")))</f>
        <v xml:space="preserve"> </v>
      </c>
      <c r="BL17" s="26" t="str">
        <f>IF(AND(M17&gt;0,'[17]EvaluaciónRiesgoCorrup 1'!$F$11&gt;50,'[17]EvaluaciónRiesgoCorrup 1'!$F$11&lt;76,F17=5,H17=5),$H$28,IF(AND(M17&gt;0,'[17]EvaluaciónRiesgoCorrup 1'!$F$11&gt;50,'[17]EvaluaciónRiesgoCorrup 1'!$F$11&lt;76,F17=5,H17=10),$H$28,IF(AND(M17&gt;0,'[17]EvaluaciónRiesgoCorrup 1'!$F$11&gt;50,'[17]EvaluaciónRiesgoCorrup 1'!$F$11&lt;76,F17=5,H17=20),$J$28," ")))</f>
        <v xml:space="preserve"> </v>
      </c>
      <c r="BO17" s="26" t="str">
        <f>IF(AND(M17&gt;0,'[17]EvaluaciónRiesgoCorrup 1'!$F$11&lt;51,F17=1,H17=5),$H$24,IF(AND(M17&gt;0,'[17]EvaluaciónRiesgoCorrup 1'!$F$11&lt;51,F17=1,H17=10),$J$24,IF(AND(M17&gt;0,'[17]EvaluaciónRiesgoCorrup 1'!$F$11&lt;51,F17=1,H17=20),$K$24," ")))</f>
        <v xml:space="preserve"> </v>
      </c>
      <c r="BP17" s="26" t="str">
        <f>IF(AND(M17&gt;0,'[17]EvaluaciónRiesgoCorrup 1'!$F$11&lt;51,F17=2,H17=5),$H$25,IF(AND(M17&gt;0,'[17]EvaluaciónRiesgoCorrup 1'!$F$11&lt;51,F17=2,H17=10),$J$25,IF(AND(M17&gt;0,'[17]EvaluaciónRiesgoCorrup 1'!$F$11&lt;51,F17=2,H17=20),$K$25," ")))</f>
        <v xml:space="preserve"> </v>
      </c>
      <c r="BQ17" s="26" t="str">
        <f>IF(AND(M17&gt;0,'[17]EvaluaciónRiesgoCorrup 1'!$F$11&lt;51,F17=3,H17=5),$H$26,IF(AND(M17&gt;0,'[17]EvaluaciónRiesgoCorrup 1'!$F$11&lt;51,F17=3,H17=10),$J$26,IF(AND(M17&gt;0,'[17]EvaluaciónRiesgoCorrup 1'!$F$11&lt;51,F17=3,H17=20),$K$26," ")))</f>
        <v xml:space="preserve"> </v>
      </c>
      <c r="BR17" s="26" t="str">
        <f>IF(AND(M17&gt;0,'[17]EvaluaciónRiesgoCorrup 1'!$F$11&lt;51,F17=4,H17=5),$H$27,IF(AND(M17&gt;0,'[17]EvaluaciónRiesgoCorrup 1'!$F$11&lt;51,F17=4,H17=10),$J$27,IF(AND(M17&gt;0,'[17]EvaluaciónRiesgoCorrup 1'!$F$11&lt;51,F17=4,H17=20),$K$27," ")))</f>
        <v xml:space="preserve"> </v>
      </c>
      <c r="BS17" s="26" t="str">
        <f>IF(AND(M17&gt;0,'[17]EvaluaciónRiesgoCorrup 1'!$F$11&lt;51,F17=5,H17=5),$H$28,IF(AND(M17&gt;0,'[17]EvaluaciónRiesgoCorrup 1'!$F$11&lt;51,F17=5,H17=10),$J$28,IF(AND(M17&gt;0,'[17]EvaluaciónRiesgoCorrup 1'!$F$11&lt;51,F17=5,H17=20),$K$28," ")))</f>
        <v xml:space="preserve"> </v>
      </c>
    </row>
    <row r="18" spans="1:71" ht="156.75" customHeight="1" x14ac:dyDescent="0.25">
      <c r="A18" s="368" t="s">
        <v>105</v>
      </c>
      <c r="B18" s="368" t="s">
        <v>106</v>
      </c>
      <c r="C18" s="368" t="s">
        <v>107</v>
      </c>
      <c r="D18" s="368" t="s">
        <v>108</v>
      </c>
      <c r="E18" s="368" t="s">
        <v>81</v>
      </c>
      <c r="F18" s="369">
        <v>1</v>
      </c>
      <c r="G18" s="369" t="s">
        <v>83</v>
      </c>
      <c r="H18" s="370">
        <v>20</v>
      </c>
      <c r="I18" s="370" t="s">
        <v>84</v>
      </c>
      <c r="J18" s="371" t="s">
        <v>40</v>
      </c>
      <c r="K18" s="375" t="s">
        <v>109</v>
      </c>
      <c r="L18" s="551" t="s">
        <v>9</v>
      </c>
      <c r="M18" s="552"/>
      <c r="N18" s="371" t="s">
        <v>39</v>
      </c>
      <c r="O18" s="372" t="s">
        <v>89</v>
      </c>
      <c r="P18" s="373" t="s">
        <v>110</v>
      </c>
      <c r="Q18" s="374" t="s">
        <v>111</v>
      </c>
      <c r="R18" s="373" t="s">
        <v>112</v>
      </c>
      <c r="S18" s="512"/>
      <c r="T18" s="513"/>
      <c r="U18" s="394" t="s">
        <v>217</v>
      </c>
      <c r="V18" s="427"/>
      <c r="W18" s="513"/>
    </row>
    <row r="19" spans="1:71" ht="160.5" customHeight="1" x14ac:dyDescent="0.25">
      <c r="A19" s="382" t="s">
        <v>194</v>
      </c>
      <c r="B19" s="382" t="s">
        <v>113</v>
      </c>
      <c r="C19" s="382" t="s">
        <v>114</v>
      </c>
      <c r="D19" s="382" t="s">
        <v>115</v>
      </c>
      <c r="E19" s="376" t="s">
        <v>81</v>
      </c>
      <c r="F19" s="377">
        <v>1</v>
      </c>
      <c r="G19" s="377" t="s">
        <v>83</v>
      </c>
      <c r="H19" s="378">
        <v>20</v>
      </c>
      <c r="I19" s="383" t="s">
        <v>84</v>
      </c>
      <c r="J19" s="384" t="s">
        <v>40</v>
      </c>
      <c r="K19" s="381" t="s">
        <v>116</v>
      </c>
      <c r="L19" s="551" t="s">
        <v>9</v>
      </c>
      <c r="M19" s="552"/>
      <c r="N19" s="379" t="s">
        <v>39</v>
      </c>
      <c r="O19" s="380" t="s">
        <v>89</v>
      </c>
      <c r="P19" s="381" t="s">
        <v>110</v>
      </c>
      <c r="Q19" s="381" t="s">
        <v>117</v>
      </c>
      <c r="R19" s="381" t="s">
        <v>118</v>
      </c>
      <c r="S19" s="512"/>
      <c r="T19" s="513"/>
      <c r="U19" s="394" t="s">
        <v>217</v>
      </c>
      <c r="V19" s="393"/>
      <c r="W19" s="513"/>
    </row>
    <row r="20" spans="1:71" ht="253.5" customHeight="1" x14ac:dyDescent="0.25">
      <c r="A20" s="385" t="s">
        <v>194</v>
      </c>
      <c r="B20" s="385" t="s">
        <v>195</v>
      </c>
      <c r="C20" s="385" t="s">
        <v>196</v>
      </c>
      <c r="D20" s="385" t="s">
        <v>197</v>
      </c>
      <c r="E20" s="385" t="s">
        <v>81</v>
      </c>
      <c r="F20" s="386">
        <v>1</v>
      </c>
      <c r="G20" s="386" t="s">
        <v>83</v>
      </c>
      <c r="H20" s="387">
        <v>20</v>
      </c>
      <c r="I20" s="387" t="s">
        <v>84</v>
      </c>
      <c r="J20" s="388" t="s">
        <v>40</v>
      </c>
      <c r="K20" s="392" t="s">
        <v>119</v>
      </c>
      <c r="L20" s="551" t="s">
        <v>9</v>
      </c>
      <c r="M20" s="552"/>
      <c r="N20" s="388" t="s">
        <v>40</v>
      </c>
      <c r="O20" s="389" t="s">
        <v>89</v>
      </c>
      <c r="P20" s="390" t="s">
        <v>110</v>
      </c>
      <c r="Q20" s="390" t="s">
        <v>120</v>
      </c>
      <c r="R20" s="390" t="s">
        <v>121</v>
      </c>
      <c r="S20" s="512"/>
      <c r="T20" s="513"/>
      <c r="U20" s="394" t="s">
        <v>218</v>
      </c>
      <c r="V20" s="393"/>
      <c r="W20" s="454"/>
    </row>
    <row r="21" spans="1:71" s="115" customFormat="1" ht="253.5" customHeight="1" x14ac:dyDescent="0.25">
      <c r="A21" s="167"/>
      <c r="B21" s="167"/>
      <c r="C21" s="167"/>
      <c r="D21" s="167"/>
      <c r="E21" s="167"/>
      <c r="F21" s="168"/>
      <c r="G21" s="168"/>
      <c r="H21" s="169"/>
      <c r="I21" s="169"/>
      <c r="J21" s="177"/>
      <c r="K21" s="170"/>
      <c r="L21" s="171"/>
      <c r="M21" s="171"/>
      <c r="N21" s="169"/>
      <c r="O21" s="172"/>
      <c r="P21" s="173"/>
      <c r="Q21" s="173"/>
      <c r="R21" s="173"/>
      <c r="S21" s="174"/>
      <c r="T21" s="175"/>
      <c r="U21" s="173"/>
      <c r="V21" s="176"/>
      <c r="W21" s="176"/>
    </row>
    <row r="22" spans="1:71" ht="191.25" customHeight="1" thickBot="1" x14ac:dyDescent="0.3">
      <c r="A22" s="6" t="s">
        <v>151</v>
      </c>
      <c r="B22" s="31"/>
      <c r="C22" s="139"/>
      <c r="D22" s="31"/>
      <c r="E22" s="139"/>
      <c r="F22" s="612" t="s">
        <v>25</v>
      </c>
      <c r="G22" s="77"/>
      <c r="H22" s="613" t="s">
        <v>9</v>
      </c>
      <c r="I22" s="613"/>
      <c r="J22" s="613"/>
      <c r="K22" s="620"/>
      <c r="L22" s="2"/>
      <c r="Q22" s="5"/>
      <c r="S22" s="2"/>
    </row>
    <row r="23" spans="1:71" ht="32.25" customHeight="1" thickBot="1" x14ac:dyDescent="0.3">
      <c r="A23" s="5"/>
      <c r="B23" s="32" t="s">
        <v>33</v>
      </c>
      <c r="C23" s="127"/>
      <c r="D23" s="32"/>
      <c r="E23" s="127"/>
      <c r="F23" s="545"/>
      <c r="G23" s="145"/>
      <c r="H23" s="33" t="s">
        <v>34</v>
      </c>
      <c r="I23" s="128"/>
      <c r="J23" s="34" t="s">
        <v>35</v>
      </c>
      <c r="K23" s="33" t="s">
        <v>36</v>
      </c>
      <c r="L23" s="2"/>
      <c r="Q23" s="5"/>
      <c r="S23" s="2"/>
    </row>
    <row r="24" spans="1:71" ht="15.75" thickBot="1" x14ac:dyDescent="0.3">
      <c r="B24" s="5" t="s">
        <v>37</v>
      </c>
      <c r="C24" s="118"/>
      <c r="F24" s="35" t="s">
        <v>38</v>
      </c>
      <c r="G24" s="129"/>
      <c r="H24" s="36" t="s">
        <v>39</v>
      </c>
      <c r="I24" s="130"/>
      <c r="J24" s="36" t="s">
        <v>39</v>
      </c>
      <c r="K24" s="37" t="s">
        <v>40</v>
      </c>
      <c r="L24" s="2"/>
      <c r="Q24" s="5"/>
      <c r="S24" s="2"/>
    </row>
    <row r="25" spans="1:71" ht="15.75" thickBot="1" x14ac:dyDescent="0.3">
      <c r="F25" s="35" t="s">
        <v>41</v>
      </c>
      <c r="G25" s="129"/>
      <c r="H25" s="36" t="s">
        <v>39</v>
      </c>
      <c r="I25" s="130"/>
      <c r="J25" s="37" t="s">
        <v>40</v>
      </c>
      <c r="K25" s="38" t="s">
        <v>42</v>
      </c>
      <c r="L25" s="2"/>
      <c r="Q25" s="5"/>
      <c r="S25" s="2"/>
    </row>
    <row r="26" spans="1:71" ht="15.75" thickBot="1" x14ac:dyDescent="0.3">
      <c r="F26" s="35" t="s">
        <v>43</v>
      </c>
      <c r="G26" s="129"/>
      <c r="H26" s="37" t="s">
        <v>40</v>
      </c>
      <c r="I26" s="131"/>
      <c r="J26" s="38" t="s">
        <v>42</v>
      </c>
      <c r="K26" s="39" t="s">
        <v>44</v>
      </c>
      <c r="L26" s="2"/>
      <c r="Q26" s="5"/>
      <c r="S26" s="2"/>
    </row>
    <row r="27" spans="1:71" ht="15.75" thickBot="1" x14ac:dyDescent="0.3">
      <c r="F27" s="35" t="s">
        <v>45</v>
      </c>
      <c r="G27" s="129"/>
      <c r="H27" s="37" t="s">
        <v>40</v>
      </c>
      <c r="I27" s="131"/>
      <c r="J27" s="38" t="s">
        <v>42</v>
      </c>
      <c r="K27" s="39" t="s">
        <v>44</v>
      </c>
      <c r="L27" s="2"/>
      <c r="Q27" s="5"/>
      <c r="S27" s="2"/>
    </row>
    <row r="28" spans="1:71" ht="15.75" thickBot="1" x14ac:dyDescent="0.3">
      <c r="F28" s="35" t="s">
        <v>46</v>
      </c>
      <c r="G28" s="129"/>
      <c r="H28" s="37" t="s">
        <v>40</v>
      </c>
      <c r="I28" s="131"/>
      <c r="J28" s="38" t="s">
        <v>42</v>
      </c>
      <c r="K28" s="39" t="s">
        <v>44</v>
      </c>
      <c r="L28" s="2"/>
      <c r="Q28" s="5"/>
      <c r="S28" s="2"/>
    </row>
    <row r="29" spans="1:71" x14ac:dyDescent="0.25">
      <c r="F29" s="2"/>
      <c r="G29" s="115"/>
      <c r="H29" s="2"/>
      <c r="I29" s="115"/>
      <c r="J29" s="2"/>
      <c r="K29" s="5"/>
      <c r="M29" s="5"/>
    </row>
    <row r="30" spans="1:71" ht="15" x14ac:dyDescent="0.25">
      <c r="F30" s="40" t="s">
        <v>47</v>
      </c>
      <c r="G30" s="132"/>
      <c r="H30" s="2"/>
      <c r="I30" s="115"/>
      <c r="J30" s="2"/>
      <c r="K30" s="5"/>
      <c r="M30" s="5"/>
      <c r="N30" s="5"/>
      <c r="O30" s="118"/>
      <c r="P30" s="5"/>
    </row>
    <row r="31" spans="1:71" ht="15" x14ac:dyDescent="0.25">
      <c r="F31" s="41" t="s">
        <v>48</v>
      </c>
      <c r="G31" s="133"/>
      <c r="H31" s="2"/>
      <c r="I31" s="115"/>
      <c r="J31" s="2"/>
      <c r="K31" s="5"/>
      <c r="M31" s="5"/>
      <c r="N31" s="5"/>
      <c r="O31" s="118"/>
      <c r="P31" s="5"/>
    </row>
    <row r="32" spans="1:71" ht="15" x14ac:dyDescent="0.25">
      <c r="F32" s="42" t="s">
        <v>49</v>
      </c>
      <c r="G32" s="134"/>
      <c r="H32" s="2"/>
      <c r="I32" s="115"/>
      <c r="J32" s="2"/>
      <c r="K32" s="5"/>
      <c r="M32" s="5"/>
      <c r="N32" s="5"/>
      <c r="O32" s="118"/>
      <c r="P32" s="5"/>
    </row>
    <row r="33" spans="6:16" ht="15" x14ac:dyDescent="0.25">
      <c r="F33" s="43" t="s">
        <v>50</v>
      </c>
      <c r="G33" s="135"/>
      <c r="H33" s="2"/>
      <c r="I33" s="115"/>
      <c r="J33" s="2"/>
      <c r="K33" s="5"/>
      <c r="M33" s="5"/>
      <c r="N33" s="5"/>
      <c r="O33" s="118"/>
      <c r="P33" s="5"/>
    </row>
  </sheetData>
  <mergeCells count="38">
    <mergeCell ref="F22:F23"/>
    <mergeCell ref="H22:K22"/>
    <mergeCell ref="P15:R15"/>
    <mergeCell ref="L17:M17"/>
    <mergeCell ref="L18:M18"/>
    <mergeCell ref="L19:M19"/>
    <mergeCell ref="L20:M20"/>
    <mergeCell ref="AH13:AZ13"/>
    <mergeCell ref="BB13:BU13"/>
    <mergeCell ref="A14:D14"/>
    <mergeCell ref="F14:H14"/>
    <mergeCell ref="K14:K16"/>
    <mergeCell ref="L14:N14"/>
    <mergeCell ref="P14:R14"/>
    <mergeCell ref="S14:V14"/>
    <mergeCell ref="A15:A16"/>
    <mergeCell ref="B15:B16"/>
    <mergeCell ref="D15:D16"/>
    <mergeCell ref="F15:H15"/>
    <mergeCell ref="L15:N15"/>
    <mergeCell ref="S15:S16"/>
    <mergeCell ref="T15:T16"/>
    <mergeCell ref="U15:U16"/>
    <mergeCell ref="U1:V1"/>
    <mergeCell ref="U4:V4"/>
    <mergeCell ref="U2:X2"/>
    <mergeCell ref="U3:X3"/>
    <mergeCell ref="A6:D6"/>
    <mergeCell ref="F6:V6"/>
    <mergeCell ref="A1:D4"/>
    <mergeCell ref="F1:T4"/>
    <mergeCell ref="V15:V16"/>
    <mergeCell ref="A8:D8"/>
    <mergeCell ref="F8:V8"/>
    <mergeCell ref="A10:D10"/>
    <mergeCell ref="F10:V10"/>
    <mergeCell ref="A12:D12"/>
    <mergeCell ref="F12:V12"/>
  </mergeCells>
  <conditionalFormatting sqref="N21">
    <cfRule type="containsText" dxfId="47" priority="25" operator="containsText" text="E">
      <formula>NOT(ISERROR(SEARCH("E",N21)))</formula>
    </cfRule>
    <cfRule type="containsText" dxfId="46" priority="26" operator="containsText" text="M">
      <formula>NOT(ISERROR(SEARCH("M",N21)))</formula>
    </cfRule>
    <cfRule type="containsText" dxfId="45" priority="27" operator="containsText" text="A">
      <formula>NOT(ISERROR(SEARCH("A",N21)))</formula>
    </cfRule>
    <cfRule type="containsText" dxfId="44" priority="28" operator="containsText" text="B">
      <formula>NOT(ISERROR(SEARCH("B",N21)))</formula>
    </cfRule>
  </conditionalFormatting>
  <conditionalFormatting sqref="N19">
    <cfRule type="containsText" dxfId="43" priority="29" operator="containsText" text="E">
      <formula>NOT(ISERROR(SEARCH("E",N19)))</formula>
    </cfRule>
    <cfRule type="containsText" dxfId="42" priority="30" operator="containsText" text="M">
      <formula>NOT(ISERROR(SEARCH("M",N19)))</formula>
    </cfRule>
    <cfRule type="containsText" dxfId="41" priority="31" operator="containsText" text="A">
      <formula>NOT(ISERROR(SEARCH("A",N19)))</formula>
    </cfRule>
    <cfRule type="containsText" dxfId="40" priority="32" operator="containsText" text="B">
      <formula>NOT(ISERROR(SEARCH("B",N19)))</formula>
    </cfRule>
  </conditionalFormatting>
  <conditionalFormatting sqref="N17">
    <cfRule type="containsText" dxfId="39" priority="1" operator="containsText" text="E">
      <formula>NOT(ISERROR(SEARCH("E",N17)))</formula>
    </cfRule>
    <cfRule type="containsText" dxfId="38" priority="2" operator="containsText" text="M">
      <formula>NOT(ISERROR(SEARCH("M",N17)))</formula>
    </cfRule>
    <cfRule type="containsText" dxfId="37" priority="3" operator="containsText" text="A">
      <formula>NOT(ISERROR(SEARCH("A",N17)))</formula>
    </cfRule>
    <cfRule type="containsText" dxfId="36" priority="4" operator="containsText" text="B">
      <formula>NOT(ISERROR(SEARCH("B",N17)))</formula>
    </cfRule>
  </conditionalFormatting>
  <dataValidations count="1">
    <dataValidation type="list" allowBlank="1" showInputMessage="1" showErrorMessage="1" promptTitle="AFECTA A:" prompt="Seleccione según a quien afecte el control" sqref="L18 L20:L21">
      <formula1>#REF!</formula1>
    </dataValidation>
  </dataValidations>
  <pageMargins left="0.7" right="0.7" top="0.75" bottom="0.75" header="0.3" footer="0.3"/>
  <pageSetup scale="1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33"/>
  <sheetViews>
    <sheetView showGridLines="0" view="pageBreakPreview" topLeftCell="S9" zoomScaleNormal="60" zoomScaleSheetLayoutView="100" workbookViewId="0">
      <selection activeCell="X17" sqref="X17"/>
    </sheetView>
  </sheetViews>
  <sheetFormatPr baseColWidth="10" defaultColWidth="11.42578125" defaultRowHeight="14.25" x14ac:dyDescent="0.25"/>
  <cols>
    <col min="1" max="1" width="41.28515625" style="2" customWidth="1"/>
    <col min="2" max="5" width="40.42578125" style="2" customWidth="1"/>
    <col min="6" max="7" width="27" style="5" customWidth="1"/>
    <col min="8" max="9" width="19" style="5" customWidth="1"/>
    <col min="10" max="10" width="26.7109375" style="5" customWidth="1"/>
    <col min="11" max="11" width="29.7109375" style="2" customWidth="1"/>
    <col min="12" max="12" width="21.5703125" style="5" customWidth="1"/>
    <col min="13" max="13" width="21.5703125" style="118" customWidth="1"/>
    <col min="14" max="14" width="18.5703125" style="2" customWidth="1"/>
    <col min="15" max="16" width="21.7109375" style="2" customWidth="1"/>
    <col min="17" max="17" width="19.85546875" style="2" customWidth="1"/>
    <col min="18" max="18" width="35.140625" style="2" customWidth="1"/>
    <col min="19" max="19" width="17" style="2" customWidth="1"/>
    <col min="20" max="20" width="24.28515625" style="5" customWidth="1"/>
    <col min="21" max="21" width="38.42578125" style="2" customWidth="1"/>
    <col min="22" max="22" width="30.42578125" style="2" customWidth="1"/>
    <col min="23" max="23" width="75" style="2" customWidth="1"/>
    <col min="24" max="24" width="30.42578125" style="441" customWidth="1"/>
    <col min="25" max="25" width="30.42578125" style="2" customWidth="1"/>
    <col min="26" max="26" width="36" style="2" hidden="1" customWidth="1"/>
    <col min="27" max="74" width="11.42578125" style="2" hidden="1" customWidth="1"/>
    <col min="75" max="75" width="11.42578125" style="2" customWidth="1"/>
    <col min="76" max="16384" width="11.42578125" style="2"/>
  </cols>
  <sheetData>
    <row r="1" spans="1:74" ht="21" customHeight="1" x14ac:dyDescent="0.25">
      <c r="A1" s="573"/>
      <c r="B1" s="573"/>
      <c r="C1" s="573"/>
      <c r="D1" s="573"/>
      <c r="E1" s="72"/>
      <c r="F1" s="574" t="s">
        <v>0</v>
      </c>
      <c r="G1" s="575"/>
      <c r="H1" s="575"/>
      <c r="I1" s="575"/>
      <c r="J1" s="575"/>
      <c r="K1" s="575"/>
      <c r="L1" s="575"/>
      <c r="M1" s="575"/>
      <c r="N1" s="575"/>
      <c r="O1" s="575"/>
      <c r="P1" s="575"/>
      <c r="Q1" s="575"/>
      <c r="R1" s="575"/>
      <c r="S1" s="575"/>
      <c r="T1" s="575"/>
      <c r="U1" s="576"/>
      <c r="V1" s="583" t="s">
        <v>223</v>
      </c>
      <c r="W1" s="584"/>
      <c r="X1" s="450"/>
      <c r="Y1" s="1"/>
      <c r="Z1" s="1"/>
    </row>
    <row r="2" spans="1:74" ht="22.5" customHeight="1" x14ac:dyDescent="0.25">
      <c r="A2" s="573"/>
      <c r="B2" s="573"/>
      <c r="C2" s="573"/>
      <c r="D2" s="573"/>
      <c r="E2" s="73"/>
      <c r="F2" s="577"/>
      <c r="G2" s="578"/>
      <c r="H2" s="578"/>
      <c r="I2" s="578"/>
      <c r="J2" s="578"/>
      <c r="K2" s="578"/>
      <c r="L2" s="578"/>
      <c r="M2" s="578"/>
      <c r="N2" s="578"/>
      <c r="O2" s="578"/>
      <c r="P2" s="578"/>
      <c r="Q2" s="578"/>
      <c r="R2" s="578"/>
      <c r="S2" s="578"/>
      <c r="T2" s="578"/>
      <c r="U2" s="579"/>
      <c r="V2" s="610" t="s">
        <v>149</v>
      </c>
      <c r="W2" s="610"/>
      <c r="X2" s="610"/>
      <c r="Y2" s="610"/>
      <c r="Z2" s="1"/>
    </row>
    <row r="3" spans="1:74" ht="21" customHeight="1" x14ac:dyDescent="0.25">
      <c r="A3" s="573"/>
      <c r="B3" s="573"/>
      <c r="C3" s="573"/>
      <c r="D3" s="573"/>
      <c r="E3" s="73"/>
      <c r="F3" s="577"/>
      <c r="G3" s="578"/>
      <c r="H3" s="578"/>
      <c r="I3" s="578"/>
      <c r="J3" s="578"/>
      <c r="K3" s="578"/>
      <c r="L3" s="578"/>
      <c r="M3" s="578"/>
      <c r="N3" s="578"/>
      <c r="O3" s="578"/>
      <c r="P3" s="578"/>
      <c r="Q3" s="578"/>
      <c r="R3" s="578"/>
      <c r="S3" s="578"/>
      <c r="T3" s="578"/>
      <c r="U3" s="579"/>
      <c r="V3" s="610" t="s">
        <v>150</v>
      </c>
      <c r="W3" s="610"/>
      <c r="X3" s="610"/>
      <c r="Y3" s="610"/>
      <c r="Z3" s="1"/>
    </row>
    <row r="4" spans="1:74" ht="20.25" customHeight="1" x14ac:dyDescent="0.25">
      <c r="A4" s="573"/>
      <c r="B4" s="573"/>
      <c r="C4" s="573"/>
      <c r="D4" s="573"/>
      <c r="E4" s="74"/>
      <c r="F4" s="580"/>
      <c r="G4" s="581"/>
      <c r="H4" s="581"/>
      <c r="I4" s="581"/>
      <c r="J4" s="581"/>
      <c r="K4" s="581"/>
      <c r="L4" s="581"/>
      <c r="M4" s="581"/>
      <c r="N4" s="581"/>
      <c r="O4" s="581"/>
      <c r="P4" s="581"/>
      <c r="Q4" s="581"/>
      <c r="R4" s="581"/>
      <c r="S4" s="581"/>
      <c r="T4" s="581"/>
      <c r="U4" s="582"/>
      <c r="V4" s="583" t="s">
        <v>1</v>
      </c>
      <c r="W4" s="584"/>
      <c r="X4" s="450"/>
      <c r="Y4" s="1"/>
      <c r="Z4" s="1"/>
    </row>
    <row r="5" spans="1:74" ht="8.25" customHeight="1" x14ac:dyDescent="0.25">
      <c r="B5" s="3"/>
      <c r="C5" s="3"/>
      <c r="D5" s="3"/>
      <c r="E5" s="3"/>
      <c r="F5" s="4"/>
      <c r="G5" s="4"/>
      <c r="H5" s="4"/>
      <c r="I5" s="4"/>
      <c r="J5" s="4"/>
      <c r="K5" s="4"/>
      <c r="L5" s="4"/>
      <c r="M5" s="117"/>
      <c r="N5" s="4"/>
      <c r="O5" s="4"/>
      <c r="P5" s="4"/>
      <c r="Q5" s="4"/>
      <c r="R5" s="4"/>
      <c r="Y5" s="6"/>
      <c r="Z5" s="6"/>
    </row>
    <row r="6" spans="1:74" ht="15" x14ac:dyDescent="0.25">
      <c r="A6" s="553" t="s">
        <v>2</v>
      </c>
      <c r="B6" s="553"/>
      <c r="C6" s="553"/>
      <c r="D6" s="553"/>
      <c r="E6" s="75"/>
      <c r="F6" s="567" t="str">
        <f>[18]IdentRiesgo!B2</f>
        <v>Gestion del Desarrollo del Talento Humano</v>
      </c>
      <c r="G6" s="568"/>
      <c r="H6" s="568"/>
      <c r="I6" s="568"/>
      <c r="J6" s="568"/>
      <c r="K6" s="568"/>
      <c r="L6" s="568"/>
      <c r="M6" s="568"/>
      <c r="N6" s="568"/>
      <c r="O6" s="568"/>
      <c r="P6" s="568"/>
      <c r="Q6" s="568"/>
      <c r="R6" s="568"/>
      <c r="S6" s="568"/>
      <c r="T6" s="568"/>
      <c r="U6" s="568"/>
      <c r="V6" s="568"/>
      <c r="W6" s="569"/>
      <c r="X6" s="445"/>
      <c r="Y6" s="6"/>
      <c r="Z6" s="6"/>
    </row>
    <row r="7" spans="1:74" ht="6.75" customHeight="1" x14ac:dyDescent="0.25">
      <c r="B7" s="3"/>
      <c r="C7" s="3"/>
      <c r="D7" s="3"/>
      <c r="E7" s="3"/>
      <c r="F7" s="7"/>
      <c r="G7" s="7"/>
      <c r="H7" s="7"/>
      <c r="I7" s="7"/>
      <c r="J7" s="7"/>
      <c r="K7" s="7"/>
      <c r="L7" s="7"/>
      <c r="M7" s="121"/>
      <c r="N7" s="7"/>
      <c r="O7" s="7"/>
      <c r="P7" s="7"/>
      <c r="Q7" s="7"/>
      <c r="R7" s="7"/>
      <c r="S7" s="8"/>
      <c r="T7" s="8"/>
      <c r="U7" s="8"/>
      <c r="V7" s="8"/>
      <c r="W7" s="8"/>
      <c r="X7" s="444"/>
      <c r="Y7" s="6"/>
      <c r="Z7" s="6"/>
    </row>
    <row r="8" spans="1:74" ht="39.75" customHeight="1" x14ac:dyDescent="0.25">
      <c r="A8" s="553" t="s">
        <v>3</v>
      </c>
      <c r="B8" s="553"/>
      <c r="C8" s="553"/>
      <c r="D8" s="553"/>
      <c r="E8" s="75"/>
      <c r="F8" s="570" t="str">
        <f>[18]IdentRiesgo!B3</f>
        <v xml:space="preserve">Administrar y promover el desarrollo integral del talento humano de la Entidad, a través de la implementación de políticas, planes, programas y acciones que fortalezcan la calidad de vida laboral de los trabajadores y garanticen una mejor prestación de los servicios que ofrece el IDEAM. </v>
      </c>
      <c r="G8" s="571"/>
      <c r="H8" s="571"/>
      <c r="I8" s="571"/>
      <c r="J8" s="571"/>
      <c r="K8" s="571"/>
      <c r="L8" s="571"/>
      <c r="M8" s="571"/>
      <c r="N8" s="571"/>
      <c r="O8" s="571"/>
      <c r="P8" s="571"/>
      <c r="Q8" s="571"/>
      <c r="R8" s="571"/>
      <c r="S8" s="571"/>
      <c r="T8" s="571"/>
      <c r="U8" s="571"/>
      <c r="V8" s="571"/>
      <c r="W8" s="572"/>
      <c r="X8" s="451"/>
      <c r="Y8" s="9"/>
      <c r="Z8" s="9"/>
    </row>
    <row r="9" spans="1:74" ht="6.75" customHeight="1" x14ac:dyDescent="0.25">
      <c r="B9" s="10"/>
      <c r="C9" s="10"/>
      <c r="D9" s="10"/>
      <c r="E9" s="10"/>
      <c r="F9" s="11"/>
      <c r="G9" s="11"/>
      <c r="H9" s="11"/>
      <c r="I9" s="11"/>
      <c r="J9" s="11"/>
      <c r="K9" s="11"/>
      <c r="L9" s="11"/>
      <c r="M9" s="122"/>
      <c r="N9" s="11"/>
      <c r="O9" s="11"/>
      <c r="P9" s="11"/>
      <c r="Q9" s="11"/>
      <c r="R9" s="11"/>
      <c r="S9" s="8"/>
      <c r="T9" s="8"/>
      <c r="U9" s="8"/>
      <c r="V9" s="8"/>
      <c r="W9" s="8"/>
      <c r="X9" s="444"/>
      <c r="Y9" s="6"/>
      <c r="Z9" s="6"/>
    </row>
    <row r="10" spans="1:74" ht="15" x14ac:dyDescent="0.25">
      <c r="A10" s="553" t="s">
        <v>4</v>
      </c>
      <c r="B10" s="553"/>
      <c r="C10" s="553"/>
      <c r="D10" s="553"/>
      <c r="E10" s="75"/>
      <c r="F10" s="554" t="s">
        <v>54</v>
      </c>
      <c r="G10" s="555"/>
      <c r="H10" s="555"/>
      <c r="I10" s="555"/>
      <c r="J10" s="555"/>
      <c r="K10" s="555"/>
      <c r="L10" s="555"/>
      <c r="M10" s="555"/>
      <c r="N10" s="555"/>
      <c r="O10" s="555"/>
      <c r="P10" s="555"/>
      <c r="Q10" s="555"/>
      <c r="R10" s="555"/>
      <c r="S10" s="555"/>
      <c r="T10" s="555"/>
      <c r="U10" s="555"/>
      <c r="V10" s="555"/>
      <c r="W10" s="556"/>
      <c r="X10" s="443"/>
      <c r="Y10" s="12"/>
      <c r="Z10" s="12"/>
    </row>
    <row r="11" spans="1:74" ht="5.25" customHeight="1" x14ac:dyDescent="0.25">
      <c r="B11" s="3"/>
      <c r="C11" s="3"/>
      <c r="D11" s="3"/>
      <c r="E11" s="3"/>
      <c r="F11" s="13"/>
      <c r="G11" s="13"/>
      <c r="H11" s="13"/>
      <c r="I11" s="13"/>
      <c r="J11" s="13"/>
      <c r="K11" s="13"/>
      <c r="L11" s="13"/>
      <c r="M11" s="141"/>
      <c r="N11" s="13"/>
      <c r="O11" s="13"/>
      <c r="P11" s="13"/>
      <c r="Q11" s="13"/>
      <c r="R11" s="13"/>
      <c r="S11" s="8"/>
      <c r="T11" s="8"/>
      <c r="U11" s="8"/>
      <c r="V11" s="8"/>
      <c r="W11" s="8"/>
      <c r="X11" s="444"/>
      <c r="Y11" s="6"/>
      <c r="Z11" s="6"/>
    </row>
    <row r="12" spans="1:74" ht="15" x14ac:dyDescent="0.25">
      <c r="A12" s="553" t="s">
        <v>5</v>
      </c>
      <c r="B12" s="553"/>
      <c r="C12" s="553"/>
      <c r="D12" s="553"/>
      <c r="E12" s="75"/>
      <c r="F12" s="554" t="s">
        <v>300</v>
      </c>
      <c r="G12" s="555"/>
      <c r="H12" s="555"/>
      <c r="I12" s="555"/>
      <c r="J12" s="555"/>
      <c r="K12" s="555"/>
      <c r="L12" s="555"/>
      <c r="M12" s="555"/>
      <c r="N12" s="555"/>
      <c r="O12" s="555"/>
      <c r="P12" s="555"/>
      <c r="Q12" s="555"/>
      <c r="R12" s="555"/>
      <c r="S12" s="555"/>
      <c r="T12" s="555"/>
      <c r="U12" s="555"/>
      <c r="V12" s="555"/>
      <c r="W12" s="556"/>
      <c r="X12" s="443"/>
      <c r="Y12" s="12"/>
      <c r="Z12" s="12"/>
      <c r="AC12" s="2" t="s">
        <v>6</v>
      </c>
    </row>
    <row r="13" spans="1:74" ht="15.75" thickBot="1" x14ac:dyDescent="0.3">
      <c r="B13" s="3"/>
      <c r="C13" s="3"/>
      <c r="D13" s="3"/>
      <c r="E13" s="3"/>
      <c r="F13" s="14"/>
      <c r="G13" s="14"/>
      <c r="H13" s="15"/>
      <c r="I13" s="15"/>
      <c r="J13" s="15"/>
      <c r="K13" s="7"/>
      <c r="L13" s="15"/>
      <c r="M13" s="120"/>
      <c r="N13" s="7"/>
      <c r="O13" s="7"/>
      <c r="P13" s="7"/>
      <c r="Q13" s="7"/>
      <c r="R13" s="7"/>
      <c r="S13" s="7"/>
      <c r="T13" s="15"/>
      <c r="U13" s="7"/>
      <c r="Y13" s="6"/>
      <c r="Z13" s="6"/>
      <c r="AC13" s="2" t="s">
        <v>7</v>
      </c>
      <c r="AI13" s="557" t="s">
        <v>8</v>
      </c>
      <c r="AJ13" s="557"/>
      <c r="AK13" s="557"/>
      <c r="AL13" s="557"/>
      <c r="AM13" s="557"/>
      <c r="AN13" s="557"/>
      <c r="AO13" s="557"/>
      <c r="AP13" s="557"/>
      <c r="AQ13" s="557"/>
      <c r="AR13" s="557"/>
      <c r="AS13" s="557"/>
      <c r="AT13" s="557"/>
      <c r="AU13" s="557"/>
      <c r="AV13" s="557"/>
      <c r="AW13" s="557"/>
      <c r="AX13" s="557"/>
      <c r="AY13" s="557"/>
      <c r="AZ13" s="557"/>
      <c r="BA13" s="557"/>
      <c r="BC13" s="557" t="s">
        <v>9</v>
      </c>
      <c r="BD13" s="557"/>
      <c r="BE13" s="557"/>
      <c r="BF13" s="557"/>
      <c r="BG13" s="557"/>
      <c r="BH13" s="557"/>
      <c r="BI13" s="557"/>
      <c r="BJ13" s="557"/>
      <c r="BK13" s="557"/>
      <c r="BL13" s="557"/>
      <c r="BM13" s="557"/>
      <c r="BN13" s="557"/>
      <c r="BO13" s="557"/>
      <c r="BP13" s="557"/>
      <c r="BQ13" s="557"/>
      <c r="BR13" s="557"/>
      <c r="BS13" s="557"/>
      <c r="BT13" s="557"/>
      <c r="BU13" s="557"/>
      <c r="BV13" s="557"/>
    </row>
    <row r="14" spans="1:74" s="17" customFormat="1" ht="15" customHeight="1" x14ac:dyDescent="0.25">
      <c r="A14" s="558" t="s">
        <v>10</v>
      </c>
      <c r="B14" s="559"/>
      <c r="C14" s="559"/>
      <c r="D14" s="560"/>
      <c r="E14" s="76"/>
      <c r="F14" s="561" t="s">
        <v>11</v>
      </c>
      <c r="G14" s="561"/>
      <c r="H14" s="561"/>
      <c r="I14" s="16"/>
      <c r="J14" s="16"/>
      <c r="K14" s="562" t="s">
        <v>12</v>
      </c>
      <c r="L14" s="558" t="s">
        <v>13</v>
      </c>
      <c r="M14" s="559"/>
      <c r="N14" s="559"/>
      <c r="O14" s="560"/>
      <c r="P14" s="68"/>
      <c r="Q14" s="565" t="s">
        <v>14</v>
      </c>
      <c r="R14" s="565"/>
      <c r="S14" s="565"/>
      <c r="T14" s="565" t="s">
        <v>15</v>
      </c>
      <c r="U14" s="565"/>
      <c r="V14" s="565"/>
      <c r="W14" s="561"/>
      <c r="X14" s="452"/>
    </row>
    <row r="15" spans="1:74" s="17" customFormat="1" ht="14.25" customHeight="1" x14ac:dyDescent="0.25">
      <c r="A15" s="563" t="s">
        <v>16</v>
      </c>
      <c r="B15" s="563" t="s">
        <v>17</v>
      </c>
      <c r="C15" s="69"/>
      <c r="D15" s="563" t="s">
        <v>18</v>
      </c>
      <c r="E15" s="69"/>
      <c r="F15" s="543" t="s">
        <v>19</v>
      </c>
      <c r="G15" s="543"/>
      <c r="H15" s="543"/>
      <c r="I15" s="65"/>
      <c r="J15" s="18"/>
      <c r="K15" s="563"/>
      <c r="L15" s="548" t="s">
        <v>20</v>
      </c>
      <c r="M15" s="549"/>
      <c r="N15" s="549"/>
      <c r="O15" s="550"/>
      <c r="P15" s="67"/>
      <c r="Q15" s="548" t="s">
        <v>21</v>
      </c>
      <c r="R15" s="549"/>
      <c r="S15" s="550"/>
      <c r="T15" s="543" t="s">
        <v>22</v>
      </c>
      <c r="U15" s="543" t="s">
        <v>23</v>
      </c>
      <c r="V15" s="543" t="s">
        <v>4</v>
      </c>
      <c r="W15" s="543" t="s">
        <v>24</v>
      </c>
      <c r="X15" s="471"/>
    </row>
    <row r="16" spans="1:74" s="17" customFormat="1" ht="63" customHeight="1" thickBot="1" x14ac:dyDescent="0.3">
      <c r="A16" s="566"/>
      <c r="B16" s="566"/>
      <c r="C16" s="71" t="s">
        <v>70</v>
      </c>
      <c r="D16" s="566"/>
      <c r="E16" s="71" t="s">
        <v>71</v>
      </c>
      <c r="F16" s="18" t="s">
        <v>25</v>
      </c>
      <c r="G16" s="65" t="s">
        <v>70</v>
      </c>
      <c r="H16" s="18" t="s">
        <v>9</v>
      </c>
      <c r="I16" s="65" t="s">
        <v>70</v>
      </c>
      <c r="J16" s="18" t="s">
        <v>26</v>
      </c>
      <c r="K16" s="564"/>
      <c r="L16" s="18" t="s">
        <v>72</v>
      </c>
      <c r="M16" s="315" t="s">
        <v>25</v>
      </c>
      <c r="N16" s="18" t="s">
        <v>9</v>
      </c>
      <c r="O16" s="20" t="s">
        <v>26</v>
      </c>
      <c r="P16" s="71" t="s">
        <v>74</v>
      </c>
      <c r="Q16" s="18" t="s">
        <v>27</v>
      </c>
      <c r="R16" s="18" t="s">
        <v>23</v>
      </c>
      <c r="S16" s="18" t="s">
        <v>28</v>
      </c>
      <c r="T16" s="543"/>
      <c r="U16" s="543"/>
      <c r="V16" s="543"/>
      <c r="W16" s="543"/>
      <c r="X16" s="471"/>
    </row>
    <row r="17" spans="1:72" ht="409.5" customHeight="1" x14ac:dyDescent="0.25">
      <c r="A17" s="504" t="s">
        <v>259</v>
      </c>
      <c r="B17" s="505" t="s">
        <v>260</v>
      </c>
      <c r="C17" s="181" t="str">
        <f>IF(ISTEXT([19]IdentificaciónRiesgos!$B6),[19]IdentificaciónRiesgos!$C6,"")</f>
        <v>Realizar posesiones o encargos sin cumplir con los requisitos establecidos en el Manual de Funciones y de Competencias; o sin que se surta el procedimiento establecido por Ley para la provisión de empleos de carrera administrativa y de libre nombramiento.</v>
      </c>
      <c r="D17" s="506" t="s">
        <v>261</v>
      </c>
      <c r="E17" s="227" t="str">
        <f>IF(ISTEXT([19]IdentificaciónRiesgos!$B6),VLOOKUP($C17,[19]DefiniciónRiesgos!$A$4:$F$9,6,FALSE),"")</f>
        <v>RIESGO DE CORRUPCIÓN</v>
      </c>
      <c r="F17" s="341">
        <f>IF(ISTEXT([19]IdentificaciónRiesgos!$B6),IF(EXACT([19]AnálisisRiesgos!$B9,"X"),5,IF(EXACT([19]AnálisisRiesgos!$C9,"X"),4,IF(EXACT([19]AnálisisRiesgos!$D9,"X"),3,IF(EXACT([19]AnálisisRiesgos!$E9,"X"),2,IF(EXACT([19]AnálisisRiesgos!$F9,"X"),1,""))))),"")</f>
        <v>4</v>
      </c>
      <c r="G17" s="341" t="str">
        <f>IF(EXACT($F17,5),"Casí Seguro",IF(EXACT($F17,4),"Probable",IF(EXACT($F17,3),"Posible",IF(EXACT($F17,2),"Improbable","Rara Vez"))))</f>
        <v>Probable</v>
      </c>
      <c r="H17" s="341">
        <f>IF(EXACT($B17,""),"",IF(EXACT($E17,"RIESGO DE GESTIÓN"),IF(EXACT([19]AnálisisRiesgos!$G9,"X"),5,IF(EXACT([19]AnálisisRiesgos!$H9,"X"),4,IF(EXACT([19]AnálisisRiesgos!$I9,"X"),3,IF(EXACT([19]AnálisisRiesgos!$J9,"X"),2,1)))),IF(EXACT([19]AnálisisRiesgos!$L9,"X"),20,IF(EXACT([19]AnálisisRiesgos!$M9,"X"),10,5))))</f>
        <v>10</v>
      </c>
      <c r="I17" s="341" t="str">
        <f>IF(EXACT($E17,"RIESGO DE GESTIÓN"),IF(EXACT($H17,1),"Insignificante",IF(EXACT($H17,2),"Menor",IF(EXACT($H17,3),"Moderado",IF(EXACT($H17,4),"Mayor","Catastrófico")))),IF(EXACT($H17,5),"Moderado",IF(EXACT($H17,10),"Mayor","Catastrófico")))</f>
        <v>Mayor</v>
      </c>
      <c r="J17" s="225" t="s">
        <v>42</v>
      </c>
      <c r="K17" s="507" t="s">
        <v>262</v>
      </c>
      <c r="L17" s="621"/>
      <c r="M17" s="622"/>
      <c r="N17" s="341" t="s">
        <v>9</v>
      </c>
      <c r="O17" s="334" t="s">
        <v>42</v>
      </c>
      <c r="P17" s="334" t="s">
        <v>78</v>
      </c>
      <c r="Q17" s="228" t="s">
        <v>82</v>
      </c>
      <c r="R17" s="508" t="s">
        <v>263</v>
      </c>
      <c r="S17" s="414" t="s">
        <v>153</v>
      </c>
      <c r="T17" s="229"/>
      <c r="U17" s="527"/>
      <c r="V17" s="417" t="s">
        <v>219</v>
      </c>
      <c r="W17" s="510" t="s">
        <v>266</v>
      </c>
      <c r="X17" s="509"/>
      <c r="Y17" s="182"/>
      <c r="Z17" s="182"/>
      <c r="AA17" s="182"/>
      <c r="AB17" s="182"/>
      <c r="AC17" s="182"/>
      <c r="AD17" s="182"/>
      <c r="AE17" s="182"/>
      <c r="AF17" s="182"/>
      <c r="AG17" s="182"/>
      <c r="AH17" s="182"/>
      <c r="AI17" s="26" t="str">
        <f>IF(AND(L17&gt;0,'[18]Evalaucion Riesgo R1'!$F$11&gt;75,F17=3,H17=5),$H$24,IF(AND(L17&gt;0,'[18]Evalaucion Riesgo R1'!$F$11&gt;75,F17=3,H17=10),$J$24,IF(AND(L17&gt;0,'[18]Evalaucion Riesgo R1'!$F$11&gt;75,F17=3,H17=20),$K$24," ")))</f>
        <v xml:space="preserve"> </v>
      </c>
      <c r="AJ17" s="26" t="str">
        <f>IF(AND(L17&gt;0,'[18]Evalaucion Riesgo R1'!$F$11&gt;75,F17=4,H17=5),$H$25,IF(AND(L17&gt;0,'[18]Evalaucion Riesgo R1'!$F$11&gt;75,F17=4,H17=10),$J$25,IF(AND(L17&gt;0,'[18]Evalaucion Riesgo R1'!$F$11&gt;75,F17=4,H17=20),$K$25," ")))</f>
        <v xml:space="preserve"> </v>
      </c>
      <c r="AK17" s="26" t="str">
        <f>IF(AND(L17&gt;0,'[18]Evalaucion Riesgo R1'!$F$11&gt;75,F17=5,H17=5),$H$26,IF(AND(L17&gt;0,'[18]Evalaucion Riesgo R1'!$F$11&gt;75,F17=5,H17=10),$J$26,IF(AND(L17&gt;0,'[18]Evalaucion Riesgo R1'!$F$11&gt;75,F17=5,H17=20),$K$26," ")))</f>
        <v xml:space="preserve"> </v>
      </c>
      <c r="AL17" s="27" t="s">
        <v>31</v>
      </c>
      <c r="AM17" s="26" t="str">
        <f>IF(AND(L17&gt;0,'[18]Evalaucion Riesgo R1'!$F$11&gt;50,'[18]Evalaucion Riesgo R1'!$F$11&lt;76,F17=1,H17=5),$H$24,IF(AND(L17&gt;0,'[18]Evalaucion Riesgo R1'!$F$11&gt;50,'[18]Evalaucion Riesgo R1'!$F$11&lt;76,F17=1,H17=10),$J$24,IF(AND(L17&gt;0,'[18]Evalaucion Riesgo R1'!$F$11&gt;50,'[18]Evalaucion Riesgo R1'!$F$11&lt;76,F17=1,H17=20),$K$24," ")))</f>
        <v xml:space="preserve"> </v>
      </c>
      <c r="AN17" s="26" t="str">
        <f>IF(AND(L17&gt;0,'[18]Evalaucion Riesgo R1'!$F$11&gt;50,'[18]Evalaucion Riesgo R1'!$F$11&lt;76,F17=2,H17=5),$H$24,IF(AND(L17&gt;0,'[18]Evalaucion Riesgo R1'!$F$11&gt;50,'[18]Evalaucion Riesgo R1'!$F$11&lt;76,F17=2,H17=10),$J$24,IF(AND(L17&gt;0,'[18]Evalaucion Riesgo R1'!$F$11&gt;50,'[18]Evalaucion Riesgo R1'!$F$11&lt;76,F17=2,H17=20),$K$24," ")))</f>
        <v xml:space="preserve"> </v>
      </c>
      <c r="AO17" s="26" t="str">
        <f>IF(AND(L17&gt;0,'[18]Evalaucion Riesgo R1'!$F$11&gt;50,'[18]Evalaucion Riesgo R1'!$F$11&lt;76,F17=3,H17=5),$H$25,IF(AND(L17&gt;0,'[18]Evalaucion Riesgo R1'!$F$11&gt;50,'[18]Evalaucion Riesgo R1'!$F$11&lt;76,F17=3,H17=10),$J$25,IF(AND(L17&gt;0,'[18]Evalaucion Riesgo R1'!$F$11&gt;50,'[18]Evalaucion Riesgo R1'!$F$11&lt;76,F17=3,H17=20),$K$25," ")))</f>
        <v xml:space="preserve"> </v>
      </c>
      <c r="AP17" s="26" t="str">
        <f>IF(AND(L17&gt;0,'[18]Evalaucion Riesgo R1'!$F$11&gt;50,'[18]Evalaucion Riesgo R1'!$F$11&lt;76,F17=4,H17=5),$H$26,IF(AND(L17&gt;0,'[18]Evalaucion Riesgo R1'!$F$11&gt;50,'[18]Evalaucion Riesgo R1'!$F$11&lt;76,F17=4,H17=10),$J$26,IF(AND(L17&gt;0,'[18]Evalaucion Riesgo R1'!$F$11&gt;50,'[18]Evalaucion Riesgo R1'!$F$11&lt;76,F17=4,H17=20),$K$26," ")))</f>
        <v xml:space="preserve"> </v>
      </c>
      <c r="AQ17" s="26" t="str">
        <f>IF(AND(L17&gt;0,'[18]Evalaucion Riesgo R1'!$F$11&gt;50,'[18]Evalaucion Riesgo R1'!$F$11&lt;76,F17=5,H17=5),$H$27,IF(AND(L17&gt;0,'[18]Evalaucion Riesgo R1'!$F$11&gt;50,'[18]Evalaucion Riesgo R1'!$F$11&lt;76,F17=5,H17=10),$J$27,IF(AND(L17&gt;0,'[18]Evalaucion Riesgo R1'!$F$11&gt;50,'[18]Evalaucion Riesgo R1'!$F$11&lt;76,F17=5,H17=20),$K$27," ")))</f>
        <v xml:space="preserve"> </v>
      </c>
      <c r="AS17" s="27" t="s">
        <v>32</v>
      </c>
      <c r="AT17" s="26" t="str">
        <f>IF(AND(L17&gt;0,'[18]Evalaucion Riesgo R1'!$F$11&lt;51,F17=1,H17=5),$H$24,IF(AND(L17&gt;0,'[18]Evalaucion Riesgo R1'!$F$11&lt;51,F17=1,H17=10),$J$24,IF(AND(L17&gt;0,'[18]Evalaucion Riesgo R1'!$F$11&lt;51,F17=1,H17=20),K$24," ")))</f>
        <v xml:space="preserve"> </v>
      </c>
      <c r="AU17" s="26" t="str">
        <f>IF(AND(L17&gt;0,'[18]Evalaucion Riesgo R1'!$F$11&lt;51,F17=2,H17=5),$H$25,IF(AND(L17&gt;0,'[18]Evalaucion Riesgo R1'!$F$11&lt;51,F17=2,H17=10),$J$25,IF(AND(L17&gt;0,'[18]Evalaucion Riesgo R1'!$F$11&lt;51,F17=2,H17=20),K$25," ")))</f>
        <v xml:space="preserve"> </v>
      </c>
      <c r="AV17" s="26" t="str">
        <f>IF(AND(L17&gt;0,'[18]Evalaucion Riesgo R1'!$F$11&lt;51,F17=3,H17=5),$H$26,IF(AND(L17&gt;0,'[18]Evalaucion Riesgo R1'!$F$11&lt;51,F17=3,H17=10),$J$26,IF(AND(L17&gt;0,'[18]Evalaucion Riesgo R1'!$F$11&lt;51,F17=3,H17=20),K$26," ")))</f>
        <v xml:space="preserve"> </v>
      </c>
      <c r="AW17" s="26" t="str">
        <f>IF(AND(L17&gt;0,'[18]Evalaucion Riesgo R1'!$F$11&lt;51,F17=4,H17=5),$H$27,IF(AND(L17&gt;0,'[18]Evalaucion Riesgo R1'!$F$11&lt;51,F17=4,H17=10),$J$27,IF(AND(L17&gt;0,'[18]Evalaucion Riesgo R1'!$F$11&lt;51,F17=4,H17=20),K$27," ")))</f>
        <v xml:space="preserve"> </v>
      </c>
      <c r="AX17" s="26" t="str">
        <f>IF(AND(L17&gt;0,'[18]Evalaucion Riesgo R1'!$F$11&lt;51,F17=5,H17=5),$H$28,IF(AND(L17&gt;0,'[18]Evalaucion Riesgo R1'!$F$11&lt;51,F17=5,H17=10),$J$28,IF(AND(L17&gt;0,'[18]Evalaucion Riesgo R1'!$F$11&lt;51,F17=5,H17=20),K$28," ")))</f>
        <v xml:space="preserve"> </v>
      </c>
      <c r="BA17" s="27" t="s">
        <v>30</v>
      </c>
      <c r="BB17" s="26" t="str">
        <f>IF(AND(N17&gt;0,'[18]Evalaucion Riesgo R1'!$F$11&gt;75,F17=1,H17=5),$H$24,IF(AND(N17&gt;0,'[18]Evalaucion Riesgo R1'!$F$11&gt;75,F17=1,H17=10),$H$24,IF(AND(N17&gt;0,'[18]Evalaucion Riesgo R1'!$F$11&gt;75,F17=1,H17=20),$H$24," ")))</f>
        <v xml:space="preserve"> </v>
      </c>
      <c r="BC17" s="26" t="str">
        <f>IF(AND(N17&gt;0,'[18]Evalaucion Riesgo R1'!$F$11&gt;75,F17=2,H17=5),$H$25,IF(AND(N17&gt;0,'[18]Evalaucion Riesgo R1'!$F$11&gt;75,F17=2,H17=10),$H$25,IF(AND(N17&gt;0,'[18]Evalaucion Riesgo R1'!$F$11&gt;75,F17=2,H17=20),$H$25," ")))</f>
        <v xml:space="preserve"> </v>
      </c>
      <c r="BD17" s="26" t="str">
        <f>IF(AND(N17&gt;0,'[18]Evalaucion Riesgo R1'!$F$11&gt;75,F17=3,H17=5),$H$26,IF(AND(N17&gt;0,'[18]Evalaucion Riesgo R1'!$F$11&gt;75,F17=3,H17=10),$H$26,IF(AND(N17&gt;0,'[18]Evalaucion Riesgo R1'!$F$11&gt;75,F17=3,H17=20),$H$26," ")))</f>
        <v xml:space="preserve"> </v>
      </c>
      <c r="BE17" s="26" t="str">
        <f>IF(AND(N17&gt;0,'[18]Evalaucion Riesgo R1'!$F$11&gt;75,F17=4,H17=5),$H$27,IF(AND(N17&gt;0,'[18]Evalaucion Riesgo R1'!$F$11&gt;75,F17=4,H17=10),$H$27,IF(AND(N17&gt;0,'[18]Evalaucion Riesgo R1'!$F$11&gt;75,F17=4,H17=20),$H$27," ")))</f>
        <v>M</v>
      </c>
      <c r="BF17" s="26" t="str">
        <f>IF(AND(N17&gt;0,'[18]Evalaucion Riesgo R1'!$F$11&gt;75,F17=5,H17=5),$H$28,IF(AND(N17&gt;0,'[18]Evalaucion Riesgo R1'!$F$11&gt;75,F17=5,H17=10),$H$28,IF(AND(N17&gt;0,'[18]Evalaucion Riesgo R1'!$F$11&gt;75,F17=5,H17=20),$H$28," ")))</f>
        <v xml:space="preserve"> </v>
      </c>
      <c r="BH17" s="27" t="s">
        <v>31</v>
      </c>
      <c r="BI17" s="26" t="str">
        <f>IF(AND(N17&gt;0,'[18]Evalaucion Riesgo R1'!$F$11&gt;50,'[18]Evalaucion Riesgo R1'!$F$11&lt;76,F17=1,H17=5),$H$24,IF(AND(N17&gt;0,'[18]Evalaucion Riesgo R1'!$F$11&gt;50,'[18]Evalaucion Riesgo R1'!$F$11&lt;76,F17=1,H17=10),$H$24,IF(AND(N17&gt;0,'[18]Evalaucion Riesgo R1'!$F$11&gt;50,'[18]Evalaucion Riesgo R1'!$F$11&lt;76,F17=1,H17=20),$J$24," ")))</f>
        <v xml:space="preserve"> </v>
      </c>
      <c r="BJ17" s="26" t="str">
        <f>IF(AND(N17&gt;0,'[18]Evalaucion Riesgo R1'!$F$11&gt;50,'[18]Evalaucion Riesgo R1'!$F$11&lt;76,F17=2,H17=5),$H$25,IF(AND(N17&gt;0,'[18]Evalaucion Riesgo R1'!$F$11&gt;50,'[18]Evalaucion Riesgo R1'!$F$11&lt;76,F17=2,H17=10),$H$25,IF(AND(N17&gt;0,'[18]Evalaucion Riesgo R1'!$F$11&gt;50,'[18]Evalaucion Riesgo R1'!$F$11&lt;76,F17=2,H17=20),$J$25," ")))</f>
        <v xml:space="preserve"> </v>
      </c>
      <c r="BK17" s="26" t="str">
        <f>IF(AND(N17&gt;0,'[18]Evalaucion Riesgo R1'!$F$11&gt;50,'[18]Evalaucion Riesgo R1'!$F$11&lt;76,F17=3,H17=5),$H$26,IF(AND(N17&gt;0,'[18]Evalaucion Riesgo R1'!$F$11&gt;50,'[18]Evalaucion Riesgo R1'!$F$11&lt;76,F17=3,H17=10),$H$26,IF(AND(N17&gt;0,'[18]Evalaucion Riesgo R1'!$F$11&gt;50,'[18]Evalaucion Riesgo R1'!$F$11&lt;76,F17=3,H17=20),$J$26," ")))</f>
        <v xml:space="preserve"> </v>
      </c>
      <c r="BL17" s="26" t="str">
        <f>IF(AND(N17&gt;0,'[18]Evalaucion Riesgo R1'!$F$11&gt;50,'[18]Evalaucion Riesgo R1'!$F$11&lt;76,F17=4,H17=5),$H$27,IF(AND(N17&gt;0,'[18]Evalaucion Riesgo R1'!$F$11&gt;50,'[18]Evalaucion Riesgo R1'!$F$11&lt;76,F17=4,H17=10),$H$27,IF(AND(N17&gt;0,'[18]Evalaucion Riesgo R1'!$F$11&gt;50,'[18]Evalaucion Riesgo R1'!$F$11&lt;76,F17=4,H17=20),$J$27," ")))</f>
        <v xml:space="preserve"> </v>
      </c>
      <c r="BM17" s="26" t="str">
        <f>IF(AND(N17&gt;0,'[18]Evalaucion Riesgo R1'!$F$11&gt;50,'[18]Evalaucion Riesgo R1'!$F$11&lt;76,F17=5,H17=5),$H$28,IF(AND(N17&gt;0,'[18]Evalaucion Riesgo R1'!$F$11&gt;50,'[18]Evalaucion Riesgo R1'!$F$11&lt;76,F17=5,H17=10),$H$28,IF(AND(N17&gt;0,'[18]Evalaucion Riesgo R1'!$F$11&gt;50,'[18]Evalaucion Riesgo R1'!$F$11&lt;76,F17=5,H17=20),$J$28," ")))</f>
        <v xml:space="preserve"> </v>
      </c>
      <c r="BO17" s="27" t="s">
        <v>32</v>
      </c>
      <c r="BP17" s="26" t="str">
        <f>IF(AND(N17&gt;0,'[18]Evalaucion Riesgo R1'!$F$11&lt;51,F17=1,H17=5),$H$24,IF(AND(N17&gt;0,'[18]Evalaucion Riesgo R1'!$F$11&lt;51,F17=1,H17=10),$J$24,IF(AND(N17&gt;0,'[18]Evalaucion Riesgo R1'!$F$11&lt;51,F17=1,H17=20),$K$24," ")))</f>
        <v xml:space="preserve"> </v>
      </c>
      <c r="BQ17" s="26" t="str">
        <f>IF(AND(N17&gt;0,'[18]Evalaucion Riesgo R1'!$F$11&lt;51,F17=2,H17=5),$H$25,IF(AND(N17&gt;0,'[18]Evalaucion Riesgo R1'!$F$11&lt;51,F17=2,H17=10),$J$25,IF(AND(N17&gt;0,'[18]Evalaucion Riesgo R1'!$F$11&lt;51,F17=2,H17=20),$K$25," ")))</f>
        <v xml:space="preserve"> </v>
      </c>
      <c r="BR17" s="26" t="str">
        <f>IF(AND(N17&gt;0,'[18]Evalaucion Riesgo R1'!$F$11&lt;51,F17=3,H17=5),$H$26,IF(AND(N17&gt;0,'[18]Evalaucion Riesgo R1'!$F$11&lt;51,F17=3,H17=10),$J$26,IF(AND(N17&gt;0,'[18]Evalaucion Riesgo R1'!$F$11&lt;51,F17=3,H17=20),$K$26," ")))</f>
        <v xml:space="preserve"> </v>
      </c>
      <c r="BS17" s="26" t="str">
        <f>IF(AND(N17&gt;0,'[18]Evalaucion Riesgo R1'!$F$11&lt;51,F17=4,H17=5),$H$27,IF(AND(N17&gt;0,'[18]Evalaucion Riesgo R1'!$F$11&lt;51,F17=4,H17=10),$J$27,IF(AND(N17&gt;0,'[18]Evalaucion Riesgo R1'!$F$11&lt;51,F17=4,H17=20),$K$27," ")))</f>
        <v xml:space="preserve"> </v>
      </c>
      <c r="BT17" s="26" t="str">
        <f>IF(AND(N17&gt;0,'[18]Evalaucion Riesgo R1'!$F$11&lt;51,F17=5,H17=5),$H$28,IF(AND(N17&gt;0,'[18]Evalaucion Riesgo R1'!$F$11&lt;51,F17=5,H17=10),$J$28,IF(AND(N17&gt;0,'[18]Evalaucion Riesgo R1'!$F$11&lt;51,F17=5,H17=20),$K$28," ")))</f>
        <v xml:space="preserve"> </v>
      </c>
    </row>
    <row r="18" spans="1:72" s="406" customFormat="1" ht="409.5" customHeight="1" thickBot="1" x14ac:dyDescent="0.3">
      <c r="A18" s="411"/>
      <c r="B18" s="412"/>
      <c r="C18" s="412"/>
      <c r="D18" s="412"/>
      <c r="E18" s="412"/>
      <c r="F18" s="413"/>
      <c r="G18" s="413"/>
      <c r="H18" s="413"/>
      <c r="I18" s="413"/>
      <c r="J18" s="410"/>
      <c r="K18" s="419"/>
      <c r="L18" s="623"/>
      <c r="M18" s="624"/>
      <c r="N18" s="413"/>
      <c r="O18" s="414"/>
      <c r="P18" s="414"/>
      <c r="Q18" s="418"/>
      <c r="R18" s="418"/>
      <c r="S18" s="414"/>
      <c r="T18" s="229"/>
      <c r="U18" s="416"/>
      <c r="V18" s="417"/>
      <c r="W18" s="415"/>
      <c r="X18" s="415"/>
      <c r="Y18" s="409"/>
      <c r="Z18" s="409"/>
      <c r="AA18" s="409"/>
      <c r="AB18" s="409"/>
      <c r="AC18" s="409"/>
      <c r="AD18" s="409"/>
      <c r="AE18" s="409"/>
      <c r="AF18" s="409"/>
      <c r="AG18" s="409"/>
      <c r="AH18" s="409"/>
      <c r="AI18" s="407"/>
      <c r="AJ18" s="407"/>
      <c r="AK18" s="407"/>
      <c r="AL18" s="408"/>
      <c r="AM18" s="407"/>
      <c r="AN18" s="407"/>
      <c r="AO18" s="407"/>
      <c r="AP18" s="407"/>
      <c r="AQ18" s="407"/>
      <c r="AS18" s="408"/>
      <c r="AT18" s="407"/>
      <c r="AU18" s="407"/>
      <c r="AV18" s="407"/>
      <c r="AW18" s="407"/>
      <c r="AX18" s="407"/>
      <c r="BA18" s="408"/>
      <c r="BB18" s="407"/>
      <c r="BC18" s="407"/>
      <c r="BD18" s="407"/>
      <c r="BE18" s="407"/>
      <c r="BF18" s="407"/>
      <c r="BH18" s="408"/>
      <c r="BI18" s="407"/>
      <c r="BJ18" s="407"/>
      <c r="BK18" s="407"/>
      <c r="BL18" s="407"/>
      <c r="BM18" s="407"/>
      <c r="BO18" s="408"/>
      <c r="BP18" s="407"/>
      <c r="BQ18" s="407"/>
      <c r="BR18" s="407"/>
      <c r="BS18" s="407"/>
      <c r="BT18" s="407"/>
    </row>
    <row r="19" spans="1:72" ht="360.75" customHeight="1" x14ac:dyDescent="0.25">
      <c r="A19" s="226"/>
      <c r="B19" s="227"/>
      <c r="C19" s="227"/>
      <c r="D19" s="227"/>
      <c r="E19" s="227"/>
      <c r="F19" s="341"/>
      <c r="G19" s="341"/>
      <c r="H19" s="341"/>
      <c r="I19" s="341"/>
      <c r="J19" s="225"/>
      <c r="K19" s="228"/>
      <c r="L19" s="621"/>
      <c r="M19" s="622"/>
      <c r="N19" s="341"/>
      <c r="O19" s="334"/>
      <c r="P19" s="334"/>
      <c r="Q19" s="335"/>
      <c r="R19" s="335"/>
      <c r="S19" s="334"/>
      <c r="T19" s="229"/>
      <c r="U19" s="416"/>
      <c r="V19" s="417"/>
      <c r="W19" s="418"/>
      <c r="X19" s="418"/>
      <c r="Z19" s="26" t="str">
        <f>IF(AND(F19=1,H19=5),$H$24,IF(AND(F19=1,H19=10),$J$24,IF(AND(F19=1,H19=20),$K$24," ")))</f>
        <v xml:space="preserve"> </v>
      </c>
      <c r="AA19" s="26" t="str">
        <f>IF(AND(F19=2,H19=5),$H$25,IF(AND(F19=2,H19=10),$J$25,IF(AND(F19=2,H19=20),$K$25," ")))</f>
        <v xml:space="preserve"> </v>
      </c>
      <c r="AB19" s="26" t="str">
        <f>IF(AND(F19=3,H19=5),$H$26,IF(AND(F19=3,H19=10),$J$26,IF(AND(F19=3,H19=20),$K$26," ")))</f>
        <v xml:space="preserve"> </v>
      </c>
      <c r="AC19" s="26" t="str">
        <f>IF(AND(F19=4,H19=5),$H$27,IF(AND(F19=4,H19=10),$J$27,IF(AND(F19=4,H19=20),$K$27," ")))</f>
        <v xml:space="preserve"> </v>
      </c>
      <c r="AD19" s="26" t="str">
        <f>IF(AND(F19=5,H19=5),$H$28,IF(AND(F19=5,H19=10),$J$28,IF(AND(F19=5,H19=20),$K$28," ")))</f>
        <v xml:space="preserve"> </v>
      </c>
      <c r="AG19" s="26" t="str">
        <f>IF(AND(L19&gt;0,'[18]Evalaucion Riesgo R2'!$F$11&gt;75,F19=1,H19=5),$H$24,IF(AND(L19&gt;0,'[18]Evalaucion Riesgo R2'!$F$11&gt;75,F19=1,H19=10),$J$24,IF(AND(L19&gt;0,'[18]Evalaucion Riesgo R2'!$F$11&gt;75,F19=1,H19=20),$K$24," ")))</f>
        <v xml:space="preserve"> </v>
      </c>
      <c r="AH19" s="26" t="str">
        <f>IF(AND(L19&gt;0,'[18]Evalaucion Riesgo R2'!$F$11&gt;75,F19=2,H19=5),$H$24,IF(AND(L19&gt;0,'[18]Evalaucion Riesgo R2'!$F$11&gt;75,F19=2,H19=10),$J$24,IF(AND(L19&gt;0,'[18]Evalaucion Riesgo R2'!$F$11&gt;75,F19=2,H19=20),$K$24," ")))</f>
        <v xml:space="preserve"> </v>
      </c>
      <c r="AI19" s="26" t="str">
        <f>IF(AND(L19&gt;0,'[18]Evalaucion Riesgo R2'!$F$11&gt;75,F19=3,H19=5),$H$24,IF(AND(L19&gt;0,'[18]Evalaucion Riesgo R2'!$F$11&gt;75,F19=3,H19=10),$J$24,IF(AND(L19&gt;0,'[18]Evalaucion Riesgo R2'!$F$11&gt;75,F19=3,H19=20),$K$24," ")))</f>
        <v xml:space="preserve"> </v>
      </c>
      <c r="AJ19" s="26" t="str">
        <f>IF(AND(L19&gt;0,'[18]Evalaucion Riesgo R2'!$F$11&gt;75,F19=4,H19=5),$H$25,IF(AND(L19&gt;0,'[18]Evalaucion Riesgo R2'!$F$11&gt;75,F19=4,H19=10),$J$25,IF(AND(L19&gt;0,'[18]Evalaucion Riesgo R2'!$F$11&gt;75,F19=4,H19=20),$K$25," ")))</f>
        <v xml:space="preserve"> </v>
      </c>
      <c r="AK19" s="26" t="str">
        <f>IF(AND(L19&gt;0,'[18]Evalaucion Riesgo R2'!$F$11&gt;75,F19=5,H19=5),$H$26,IF(AND(L19&gt;0,'[18]Evalaucion Riesgo R2'!$F$11&gt;75,F19=5,H19=10),$J$26,IF(AND(L19&gt;0,'[18]Evalaucion Riesgo R2'!$F$11&gt;75,F19=5,H19=20),$K$26," ")))</f>
        <v xml:space="preserve"> </v>
      </c>
      <c r="AM19" s="26" t="str">
        <f>IF(AND(L19&gt;0,'[18]Evalaucion Riesgo R2'!$F$11&gt;50,'[18]Evalaucion Riesgo R2'!$F$11&lt;76,F19=1,H19=5),$H$24,IF(AND(L19&gt;0,'[18]Evalaucion Riesgo R2'!$F$11&gt;50,'[18]Evalaucion Riesgo R2'!$F$11&lt;76,F19=1,H19=10),$J$24,IF(AND(L19&gt;0,'[18]Evalaucion Riesgo R2'!$F$11&gt;50,'[18]Evalaucion Riesgo R2'!$F$11&lt;76,F19=1,H19=20),$K$24," ")))</f>
        <v xml:space="preserve"> </v>
      </c>
      <c r="AN19" s="26" t="str">
        <f>IF(AND(L19&gt;0,'[18]Evalaucion Riesgo R2'!$F$11&gt;50,'[18]Evalaucion Riesgo R2'!$F$11&lt;76,F19=2,H19=5),$H$24,IF(AND(L19&gt;0,'[18]Evalaucion Riesgo R2'!$F$11&gt;50,'[18]Evalaucion Riesgo R2'!$F$11&lt;76,F19=2,H19=10),$J$24,IF(AND(L19&gt;0,'[18]Evalaucion Riesgo R2'!$F$11&gt;50,'[18]Evalaucion Riesgo R2'!$F$11&lt;76,F19=2,H19=20),$K$24," ")))</f>
        <v xml:space="preserve"> </v>
      </c>
      <c r="AO19" s="26" t="str">
        <f>IF(AND(L19&gt;0,'[18]Evalaucion Riesgo R2'!$F$11&gt;50,'[18]Evalaucion Riesgo R2'!$F$11&lt;76,F19=3,H19=5),$H$25,IF(AND(L19&gt;0,'[18]Evalaucion Riesgo R2'!$F$11&gt;50,'[18]Evalaucion Riesgo R2'!$F$11&lt;76,F19=3,H19=10),$J$25,IF(AND(L19&gt;0,'[18]Evalaucion Riesgo R2'!$F$11&gt;50,'[18]Evalaucion Riesgo R2'!$F$11&lt;76,F19=3,H19=20),$K$25," ")))</f>
        <v xml:space="preserve"> </v>
      </c>
      <c r="AP19" s="26" t="str">
        <f>IF(AND(L19&gt;0,'[18]Evalaucion Riesgo R2'!$F$11&gt;50,'[18]Evalaucion Riesgo R2'!$F$11&lt;76,F19=4,H19=5),$H$26,IF(AND(L19&gt;0,'[18]Evalaucion Riesgo R2'!$F$11&gt;50,'[18]Evalaucion Riesgo R2'!$F$11&lt;76,F19=4,H19=10),$J$26,IF(AND(L19&gt;0,'[18]Evalaucion Riesgo R2'!$F$11&gt;50,'[18]Evalaucion Riesgo R2'!$F$11&lt;76,F19=4,H19=20),$K$26," ")))</f>
        <v xml:space="preserve"> </v>
      </c>
      <c r="AQ19" s="26" t="str">
        <f>IF(AND(L19&gt;0,'[18]Evalaucion Riesgo R2'!$F$11&gt;50,'[18]Evalaucion Riesgo R2'!$F$11&lt;76,F19=5,H19=5),$H$27,IF(AND(L19&gt;0,'[18]Evalaucion Riesgo R2'!$F$11&gt;50,'[18]Evalaucion Riesgo R2'!$F$11&lt;76,F19=5,H19=10),$J$27,IF(AND(L19&gt;0,'[18]Evalaucion Riesgo R2'!$F$11&gt;50,'[18]Evalaucion Riesgo R2'!$F$11&lt;76,F19=5,H19=20),$K$27," ")))</f>
        <v xml:space="preserve"> </v>
      </c>
      <c r="AT19" s="26" t="str">
        <f>IF(AND(L19&gt;0,'[18]Evalaucion Riesgo R2'!$F$11&lt;51,F19=1,H19=5),$H$24,IF(AND(L19&gt;0,'[18]Evalaucion Riesgo R2'!$F$11&lt;51,F19=1,H19=10),$J$24,IF(AND(L19&gt;0,'[18]Evalaucion Riesgo R2'!$F$11&lt;51,F19=1,H19=20),K$24," ")))</f>
        <v xml:space="preserve"> </v>
      </c>
      <c r="AU19" s="26" t="str">
        <f>IF(AND(L19&gt;0,'[18]Evalaucion Riesgo R2'!$F$11&lt;51,F19=2,H19=5),$H$25,IF(AND(L19&gt;0,'[18]Evalaucion Riesgo R2'!$F$11&lt;51,F19=2,H19=10),$J$25,IF(AND(L19&gt;0,'[18]Evalaucion Riesgo R2'!$F$11&lt;51,F19=2,H19=20),K$25," ")))</f>
        <v xml:space="preserve"> </v>
      </c>
      <c r="AV19" s="26" t="str">
        <f>IF(AND(L19&gt;0,'[18]Evalaucion Riesgo R2'!$F$11&lt;51,F19=3,H19=5),$H$26,IF(AND(L19&gt;0,'[18]Evalaucion Riesgo R2'!$F$11&lt;51,F19=3,H19=10),$J$26,IF(AND(L19&gt;0,'[18]Evalaucion Riesgo R2'!$F$11&lt;51,F19=3,H19=20),K$26," ")))</f>
        <v xml:space="preserve"> </v>
      </c>
      <c r="AW19" s="26" t="str">
        <f>IF(AND(L19&gt;0,'[18]Evalaucion Riesgo R2'!$F$11&lt;51,F19=4,H19=5),$H$27,IF(AND(L19&gt;0,'[18]Evalaucion Riesgo R2'!$F$11&lt;51,F19=4,H19=10),$J$27,IF(AND(L19&gt;0,'[18]Evalaucion Riesgo R2'!$F$11&lt;51,F19=4,H19=20),K$27," ")))</f>
        <v xml:space="preserve"> </v>
      </c>
      <c r="AX19" s="26" t="str">
        <f>IF(AND(L19&gt;0,'[18]Evalaucion Riesgo R2'!$F$11&lt;51,F19=5,H19=5),$H$28,IF(AND(L19&gt;0,'[18]Evalaucion Riesgo R2'!$F$11&lt;51,F19=5,H19=10),$J$28,IF(AND(L19&gt;0,'[18]Evalaucion Riesgo R2'!$F$11&lt;51,F19=5,H19=20),K$28," ")))</f>
        <v xml:space="preserve"> </v>
      </c>
      <c r="BB19" s="26" t="str">
        <f>IF(AND(N19&gt;0,'[18]Evalaucion Riesgo R2'!$F$11&gt;75,F19=1,H19=5),$H$24,IF(AND(N19&gt;0,'[18]Evalaucion Riesgo R2'!$F$11&gt;75,F19=1,H19=10),$H$24,IF(AND(N19&gt;0,'[18]Evalaucion Riesgo R2'!$F$11&gt;75,F19=1,H19=20),$H$24," ")))</f>
        <v xml:space="preserve"> </v>
      </c>
      <c r="BC19" s="26" t="str">
        <f>IF(AND(N19&gt;0,'[18]Evalaucion Riesgo R2'!$F$11&gt;75,F19=2,H19=5),$H$25,IF(AND(N19&gt;0,'[18]Evalaucion Riesgo R2'!$F$11&gt;75,F19=2,H19=10),$H$25,IF(AND(N19&gt;0,'[18]Evalaucion Riesgo R2'!$F$11&gt;75,F19=2,H19=20),$H$25," ")))</f>
        <v xml:space="preserve"> </v>
      </c>
      <c r="BD19" s="26" t="str">
        <f>IF(AND(N19&gt;0,'[18]Evalaucion Riesgo R2'!$F$11&gt;75,F19=3,H19=5),$H$26,IF(AND(N19&gt;0,'[18]Evalaucion Riesgo R2'!$F$11&gt;75,F19=3,H19=10),$H$26,IF(AND(N19&gt;0,'[18]Evalaucion Riesgo R2'!$F$11&gt;75,F19=3,H19=20),$H$26," ")))</f>
        <v xml:space="preserve"> </v>
      </c>
      <c r="BE19" s="26" t="str">
        <f>IF(AND(N19&gt;0,'[18]Evalaucion Riesgo R2'!$F$11&gt;75,F19=4,H19=5),$H$27,IF(AND(N19&gt;0,'[18]Evalaucion Riesgo R2'!$F$11&gt;75,F19=4,H19=10),$H$27,IF(AND(N19&gt;0,'[18]Evalaucion Riesgo R2'!$F$11&gt;75,F19=4,H19=20),$H$27," ")))</f>
        <v xml:space="preserve"> </v>
      </c>
      <c r="BF19" s="26" t="str">
        <f>IF(AND(N19&gt;0,'[18]Evalaucion Riesgo R2'!$F$11&gt;75,F19=5,H19=5),$H$28,IF(AND(N19&gt;0,'[18]Evalaucion Riesgo R2'!$F$11&gt;75,F19=5,H19=10),$H$28,IF(AND(N19&gt;0,'[18]Evalaucion Riesgo R2'!$F$11&gt;75,F19=5,H19=20),$H$28," ")))</f>
        <v xml:space="preserve"> </v>
      </c>
      <c r="BI19" s="26" t="str">
        <f>IF(AND(N19&gt;0,'[18]Evalaucion Riesgo R2'!$F$11&gt;50,'[18]Evalaucion Riesgo R2'!$F$11&lt;76,F19=1,H19=5),$H$24,IF(AND(N19&gt;0,'[18]Evalaucion Riesgo R2'!$F$11&gt;50,'[18]Evalaucion Riesgo R2'!$F$11&lt;76,F19=1,H19=10),$H$24,IF(AND(N19&gt;0,'[18]Evalaucion Riesgo R2'!$F$11&gt;50,'[18]Evalaucion Riesgo R2'!$F$11&lt;76,F19=1,H19=20),$J$24," ")))</f>
        <v xml:space="preserve"> </v>
      </c>
      <c r="BJ19" s="26" t="str">
        <f>IF(AND(N19&gt;0,'[18]Evalaucion Riesgo R2'!$F$11&gt;50,'[18]Evalaucion Riesgo R2'!$F$11&lt;76,F19=2,H19=5),$H$25,IF(AND(N19&gt;0,'[18]Evalaucion Riesgo R2'!$F$11&gt;50,'[18]Evalaucion Riesgo R2'!$F$11&lt;76,F19=2,H19=10),$H$25,IF(AND(N19&gt;0,'[18]Evalaucion Riesgo R2'!$F$11&gt;50,'[18]Evalaucion Riesgo R2'!$F$11&lt;76,F19=2,H19=20),$J$25," ")))</f>
        <v xml:space="preserve"> </v>
      </c>
      <c r="BK19" s="26" t="str">
        <f>IF(AND(N19&gt;0,'[18]Evalaucion Riesgo R2'!$F$11&gt;50,'[18]Evalaucion Riesgo R2'!$F$11&lt;76,F19=3,H19=5),$H$26,IF(AND(N19&gt;0,'[18]Evalaucion Riesgo R2'!$F$11&gt;50,'[18]Evalaucion Riesgo R2'!$F$11&lt;76,F19=3,H19=10),$H$26,IF(AND(N19&gt;0,'[18]Evalaucion Riesgo R2'!$F$11&gt;50,'[18]Evalaucion Riesgo R2'!$F$11&lt;76,F19=3,H19=20),$J$26," ")))</f>
        <v xml:space="preserve"> </v>
      </c>
      <c r="BL19" s="26" t="str">
        <f>IF(AND(N19&gt;0,'[18]Evalaucion Riesgo R2'!$F$11&gt;50,'[18]Evalaucion Riesgo R2'!$F$11&lt;76,F19=4,H19=5),$H$27,IF(AND(N19&gt;0,'[18]Evalaucion Riesgo R2'!$F$11&gt;50,'[18]Evalaucion Riesgo R2'!$F$11&lt;76,F19=4,H19=10),$H$27,IF(AND(N19&gt;0,'[18]Evalaucion Riesgo R2'!$F$11&gt;50,'[18]Evalaucion Riesgo R2'!$F$11&lt;76,F19=4,H19=20),$J$27," ")))</f>
        <v xml:space="preserve"> </v>
      </c>
      <c r="BM19" s="26" t="str">
        <f>IF(AND(N19&gt;0,'[18]Evalaucion Riesgo R2'!$F$11&gt;50,'[18]Evalaucion Riesgo R2'!$F$11&lt;76,F19=5,H19=5),$H$28,IF(AND(N19&gt;0,'[18]Evalaucion Riesgo R2'!$F$11&gt;50,'[18]Evalaucion Riesgo R2'!$F$11&lt;76,F19=5,H19=10),$H$28,IF(AND(N19&gt;0,'[18]Evalaucion Riesgo R2'!$F$11&gt;50,'[18]Evalaucion Riesgo R2'!$F$11&lt;76,F19=5,H19=20),$J$28," ")))</f>
        <v xml:space="preserve"> </v>
      </c>
      <c r="BP19" s="26" t="str">
        <f>IF(AND(N19&gt;0,'[18]Evalaucion Riesgo R2'!$F$11&lt;51,F19=1,H19=5),$H$24,IF(AND(N19&gt;0,'[18]Evalaucion Riesgo R2'!$F$11&lt;51,F19=1,H19=10),$J$24,IF(AND(N19&gt;0,'[18]Evalaucion Riesgo R2'!$F$11&lt;51,F19=1,H19=20),$K$24," ")))</f>
        <v xml:space="preserve"> </v>
      </c>
      <c r="BQ19" s="26" t="str">
        <f>IF(AND(N19&gt;0,'[18]Evalaucion Riesgo R2'!$F$11&lt;51,F19=2,H19=5),$H$25,IF(AND(N19&gt;0,'[18]Evalaucion Riesgo R2'!$F$11&lt;51,F19=2,H19=10),$J$25,IF(AND(N19&gt;0,'[18]Evalaucion Riesgo R2'!$F$11&lt;51,F19=2,H19=20),$K$25," ")))</f>
        <v xml:space="preserve"> </v>
      </c>
      <c r="BR19" s="26" t="str">
        <f>IF(AND(N19&gt;0,'[18]Evalaucion Riesgo R2'!$F$11&lt;51,F19=3,H19=5),$H$26,IF(AND(N19&gt;0,'[18]Evalaucion Riesgo R2'!$F$11&lt;51,F19=3,H19=10),$J$26,IF(AND(N19&gt;0,'[18]Evalaucion Riesgo R2'!$F$11&lt;51,F19=3,H19=20),$K$26," ")))</f>
        <v xml:space="preserve"> </v>
      </c>
      <c r="BS19" s="26" t="str">
        <f>IF(AND(N19&gt;0,'[18]Evalaucion Riesgo R2'!$F$11&lt;51,F19=4,H19=5),$H$27,IF(AND(N19&gt;0,'[18]Evalaucion Riesgo R2'!$F$11&lt;51,F19=4,H19=10),$J$27,IF(AND(N19&gt;0,'[18]Evalaucion Riesgo R2'!$F$11&lt;51,F19=4,H19=20),$K$27," ")))</f>
        <v xml:space="preserve"> </v>
      </c>
      <c r="BT19" s="26" t="str">
        <f>IF(AND(N19&gt;0,'[18]Evalaucion Riesgo R2'!$F$11&lt;51,F19=5,H19=5),$H$28,IF(AND(N19&gt;0,'[18]Evalaucion Riesgo R2'!$F$11&lt;51,F19=5,H19=10),$J$28,IF(AND(N19&gt;0,'[18]Evalaucion Riesgo R2'!$F$11&lt;51,F19=5,H19=20),$K$28," ")))</f>
        <v xml:space="preserve"> </v>
      </c>
    </row>
    <row r="20" spans="1:72" s="125" customFormat="1" ht="272.25" customHeight="1" x14ac:dyDescent="0.25">
      <c r="A20" s="231"/>
      <c r="B20" s="232"/>
      <c r="C20" s="232"/>
      <c r="D20" s="232"/>
      <c r="E20" s="232"/>
      <c r="F20" s="233"/>
      <c r="G20" s="233"/>
      <c r="H20" s="233"/>
      <c r="I20" s="234"/>
      <c r="J20" s="235"/>
      <c r="K20" s="242"/>
      <c r="L20" s="357"/>
      <c r="M20" s="241"/>
      <c r="N20" s="341"/>
      <c r="O20" s="334"/>
      <c r="P20" s="334"/>
      <c r="Q20" s="236"/>
      <c r="R20" s="236"/>
      <c r="S20" s="420"/>
      <c r="T20" s="229"/>
      <c r="U20" s="459"/>
      <c r="V20" s="417"/>
      <c r="W20" s="237"/>
      <c r="X20" s="237"/>
      <c r="Y20" s="453"/>
    </row>
    <row r="21" spans="1:72" s="223" customFormat="1" ht="143.25" customHeight="1" thickBot="1" x14ac:dyDescent="0.3">
      <c r="B21" s="224"/>
      <c r="C21" s="224"/>
      <c r="D21" s="224"/>
      <c r="E21" s="224"/>
      <c r="F21" s="238"/>
      <c r="G21" s="238"/>
      <c r="H21" s="239"/>
      <c r="I21" s="239"/>
      <c r="J21" s="239"/>
      <c r="L21" s="238"/>
      <c r="M21" s="238"/>
      <c r="T21" s="238"/>
    </row>
    <row r="22" spans="1:72" s="125" customFormat="1" ht="163.5" customHeight="1" x14ac:dyDescent="0.25">
      <c r="B22" s="126"/>
      <c r="C22" s="126"/>
      <c r="D22" s="126"/>
      <c r="E22" s="126"/>
      <c r="F22" s="544" t="s">
        <v>25</v>
      </c>
      <c r="G22" s="240"/>
      <c r="H22" s="607" t="s">
        <v>9</v>
      </c>
      <c r="I22" s="607"/>
      <c r="J22" s="607"/>
      <c r="K22" s="607"/>
      <c r="R22" s="180"/>
      <c r="X22" s="447"/>
    </row>
    <row r="23" spans="1:72" ht="138" customHeight="1" thickBot="1" x14ac:dyDescent="0.3">
      <c r="A23" s="5"/>
      <c r="B23" s="32" t="s">
        <v>33</v>
      </c>
      <c r="C23" s="32"/>
      <c r="D23" s="32"/>
      <c r="E23" s="32"/>
      <c r="F23" s="545"/>
      <c r="G23" s="66"/>
      <c r="H23" s="33" t="s">
        <v>34</v>
      </c>
      <c r="I23" s="33"/>
      <c r="J23" s="34" t="s">
        <v>35</v>
      </c>
      <c r="K23" s="33" t="s">
        <v>36</v>
      </c>
      <c r="L23" s="2"/>
      <c r="M23" s="115"/>
      <c r="R23" s="5"/>
      <c r="T23" s="2"/>
    </row>
    <row r="24" spans="1:72" ht="15.75" thickBot="1" x14ac:dyDescent="0.3">
      <c r="B24" s="5" t="s">
        <v>37</v>
      </c>
      <c r="C24" s="5"/>
      <c r="F24" s="35" t="s">
        <v>38</v>
      </c>
      <c r="G24" s="35"/>
      <c r="H24" s="36" t="s">
        <v>39</v>
      </c>
      <c r="I24" s="36"/>
      <c r="J24" s="36" t="s">
        <v>39</v>
      </c>
      <c r="K24" s="37" t="s">
        <v>40</v>
      </c>
      <c r="L24" s="2"/>
      <c r="M24" s="115"/>
      <c r="R24" s="5"/>
      <c r="T24" s="2"/>
    </row>
    <row r="25" spans="1:72" ht="15.75" thickBot="1" x14ac:dyDescent="0.3">
      <c r="F25" s="35" t="s">
        <v>41</v>
      </c>
      <c r="G25" s="35"/>
      <c r="H25" s="36" t="s">
        <v>39</v>
      </c>
      <c r="I25" s="36"/>
      <c r="J25" s="37" t="s">
        <v>40</v>
      </c>
      <c r="K25" s="38" t="s">
        <v>42</v>
      </c>
      <c r="L25" s="2"/>
      <c r="M25" s="115"/>
      <c r="R25" s="5"/>
      <c r="T25" s="2"/>
    </row>
    <row r="26" spans="1:72" ht="15.75" thickBot="1" x14ac:dyDescent="0.3">
      <c r="F26" s="35" t="s">
        <v>43</v>
      </c>
      <c r="G26" s="35"/>
      <c r="H26" s="37" t="s">
        <v>40</v>
      </c>
      <c r="I26" s="37"/>
      <c r="J26" s="38" t="s">
        <v>42</v>
      </c>
      <c r="K26" s="39" t="s">
        <v>44</v>
      </c>
      <c r="L26" s="2"/>
      <c r="M26" s="115"/>
      <c r="R26" s="5"/>
      <c r="T26" s="2"/>
    </row>
    <row r="27" spans="1:72" ht="15.75" thickBot="1" x14ac:dyDescent="0.3">
      <c r="F27" s="35" t="s">
        <v>45</v>
      </c>
      <c r="G27" s="35"/>
      <c r="H27" s="37" t="s">
        <v>40</v>
      </c>
      <c r="I27" s="37"/>
      <c r="J27" s="38" t="s">
        <v>42</v>
      </c>
      <c r="K27" s="39" t="s">
        <v>44</v>
      </c>
      <c r="L27" s="2"/>
      <c r="M27" s="115"/>
      <c r="R27" s="5"/>
      <c r="T27" s="2"/>
    </row>
    <row r="28" spans="1:72" ht="15.75" thickBot="1" x14ac:dyDescent="0.3">
      <c r="F28" s="35" t="s">
        <v>46</v>
      </c>
      <c r="G28" s="35"/>
      <c r="H28" s="37" t="s">
        <v>40</v>
      </c>
      <c r="I28" s="37"/>
      <c r="J28" s="38" t="s">
        <v>42</v>
      </c>
      <c r="K28" s="39" t="s">
        <v>44</v>
      </c>
      <c r="L28" s="2"/>
      <c r="M28" s="115"/>
      <c r="R28" s="5"/>
      <c r="T28" s="2"/>
    </row>
    <row r="29" spans="1:72" x14ac:dyDescent="0.25">
      <c r="F29" s="2"/>
      <c r="G29" s="2"/>
      <c r="H29" s="2"/>
      <c r="I29" s="2"/>
      <c r="J29" s="2"/>
      <c r="K29" s="5"/>
      <c r="N29" s="5"/>
    </row>
    <row r="30" spans="1:72" ht="15" x14ac:dyDescent="0.25">
      <c r="F30" s="40" t="s">
        <v>47</v>
      </c>
      <c r="G30" s="40"/>
      <c r="H30" s="2"/>
      <c r="I30" s="2"/>
      <c r="J30" s="2"/>
      <c r="K30" s="5"/>
      <c r="N30" s="5"/>
      <c r="O30" s="5"/>
      <c r="P30" s="5"/>
      <c r="Q30" s="5"/>
    </row>
    <row r="31" spans="1:72" ht="15" x14ac:dyDescent="0.25">
      <c r="F31" s="41" t="s">
        <v>48</v>
      </c>
      <c r="G31" s="41"/>
      <c r="H31" s="2"/>
      <c r="I31" s="2"/>
      <c r="J31" s="2"/>
      <c r="K31" s="5"/>
      <c r="N31" s="5"/>
      <c r="O31" s="5"/>
      <c r="P31" s="5"/>
      <c r="Q31" s="5"/>
    </row>
    <row r="32" spans="1:72" ht="15" x14ac:dyDescent="0.25">
      <c r="F32" s="42" t="s">
        <v>49</v>
      </c>
      <c r="G32" s="42"/>
      <c r="H32" s="2"/>
      <c r="I32" s="2"/>
      <c r="J32" s="2"/>
      <c r="K32" s="5"/>
      <c r="N32" s="5"/>
      <c r="O32" s="5"/>
      <c r="P32" s="5"/>
      <c r="Q32" s="5"/>
    </row>
    <row r="33" spans="6:17" ht="15" x14ac:dyDescent="0.25">
      <c r="F33" s="43" t="s">
        <v>50</v>
      </c>
      <c r="G33" s="43"/>
      <c r="H33" s="2"/>
      <c r="I33" s="2"/>
      <c r="J33" s="2"/>
      <c r="K33" s="5"/>
      <c r="N33" s="5"/>
      <c r="O33" s="5"/>
      <c r="P33" s="5"/>
      <c r="Q33" s="5"/>
    </row>
  </sheetData>
  <mergeCells count="37">
    <mergeCell ref="U15:U16"/>
    <mergeCell ref="V15:V16"/>
    <mergeCell ref="W15:W16"/>
    <mergeCell ref="F22:F23"/>
    <mergeCell ref="H22:K22"/>
    <mergeCell ref="Q15:S15"/>
    <mergeCell ref="L17:M17"/>
    <mergeCell ref="L19:M19"/>
    <mergeCell ref="L18:M18"/>
    <mergeCell ref="A12:D12"/>
    <mergeCell ref="F12:W12"/>
    <mergeCell ref="AI13:BA13"/>
    <mergeCell ref="BC13:BV13"/>
    <mergeCell ref="A14:D14"/>
    <mergeCell ref="F14:H14"/>
    <mergeCell ref="K14:K16"/>
    <mergeCell ref="L14:O14"/>
    <mergeCell ref="Q14:S14"/>
    <mergeCell ref="T14:W14"/>
    <mergeCell ref="A15:A16"/>
    <mergeCell ref="B15:B16"/>
    <mergeCell ref="D15:D16"/>
    <mergeCell ref="F15:H15"/>
    <mergeCell ref="L15:O15"/>
    <mergeCell ref="T15:T16"/>
    <mergeCell ref="A6:D6"/>
    <mergeCell ref="F6:W6"/>
    <mergeCell ref="A8:D8"/>
    <mergeCell ref="F8:W8"/>
    <mergeCell ref="A10:D10"/>
    <mergeCell ref="F10:W10"/>
    <mergeCell ref="A1:D4"/>
    <mergeCell ref="F1:U4"/>
    <mergeCell ref="V1:W1"/>
    <mergeCell ref="V4:W4"/>
    <mergeCell ref="V2:Y2"/>
    <mergeCell ref="V3:Y3"/>
  </mergeCells>
  <conditionalFormatting sqref="J17:J18 N17:N18">
    <cfRule type="containsText" dxfId="35" priority="29" operator="containsText" text="E">
      <formula>NOT(ISERROR(SEARCH("E",J17)))</formula>
    </cfRule>
    <cfRule type="containsText" dxfId="34" priority="30" operator="containsText" text="M">
      <formula>NOT(ISERROR(SEARCH("M",J17)))</formula>
    </cfRule>
    <cfRule type="containsText" dxfId="33" priority="31" operator="containsText" text="A">
      <formula>NOT(ISERROR(SEARCH("A",J17)))</formula>
    </cfRule>
    <cfRule type="containsText" dxfId="32" priority="32" operator="containsText" text="B">
      <formula>NOT(ISERROR(SEARCH("B",J17)))</formula>
    </cfRule>
  </conditionalFormatting>
  <conditionalFormatting sqref="J19 N19">
    <cfRule type="containsText" dxfId="31" priority="21" operator="containsText" text="E">
      <formula>NOT(ISERROR(SEARCH("E",J19)))</formula>
    </cfRule>
    <cfRule type="containsText" dxfId="30" priority="22" operator="containsText" text="M">
      <formula>NOT(ISERROR(SEARCH("M",J19)))</formula>
    </cfRule>
    <cfRule type="containsText" dxfId="29" priority="23" operator="containsText" text="A">
      <formula>NOT(ISERROR(SEARCH("A",J19)))</formula>
    </cfRule>
    <cfRule type="containsText" dxfId="28" priority="24" operator="containsText" text="B">
      <formula>NOT(ISERROR(SEARCH("B",J19)))</formula>
    </cfRule>
  </conditionalFormatting>
  <conditionalFormatting sqref="N20">
    <cfRule type="containsText" dxfId="27" priority="5" operator="containsText" text="E">
      <formula>NOT(ISERROR(SEARCH("E",N20)))</formula>
    </cfRule>
    <cfRule type="containsText" dxfId="26" priority="6" operator="containsText" text="M">
      <formula>NOT(ISERROR(SEARCH("M",N20)))</formula>
    </cfRule>
    <cfRule type="containsText" dxfId="25" priority="7" operator="containsText" text="A">
      <formula>NOT(ISERROR(SEARCH("A",N20)))</formula>
    </cfRule>
    <cfRule type="containsText" dxfId="24" priority="8" operator="containsText" text="B">
      <formula>NOT(ISERROR(SEARCH("B",N20)))</formula>
    </cfRule>
  </conditionalFormatting>
  <conditionalFormatting sqref="J20">
    <cfRule type="containsText" dxfId="23" priority="1" operator="containsText" text="E">
      <formula>NOT(ISERROR(SEARCH("E",J20)))</formula>
    </cfRule>
    <cfRule type="containsText" dxfId="22" priority="2" operator="containsText" text="M">
      <formula>NOT(ISERROR(SEARCH("M",J20)))</formula>
    </cfRule>
    <cfRule type="containsText" dxfId="21" priority="3" operator="containsText" text="A">
      <formula>NOT(ISERROR(SEARCH("A",J20)))</formula>
    </cfRule>
    <cfRule type="containsText" dxfId="20" priority="4" operator="containsText" text="B">
      <formula>NOT(ISERROR(SEARCH("B",J20)))</formula>
    </cfRule>
  </conditionalFormatting>
  <dataValidations count="1">
    <dataValidation type="list" allowBlank="1" showInputMessage="1" showErrorMessage="1" promptTitle="AFECTA A:" prompt="Seleccione según a quien afecte el control" sqref="M20 L17:M19">
      <formula1>#REF!</formula1>
    </dataValidation>
  </dataValidations>
  <pageMargins left="0.7" right="0.7" top="0.75" bottom="0.75" header="0.3" footer="0.3"/>
  <pageSetup scale="16"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
  <sheetViews>
    <sheetView showGridLines="0" view="pageBreakPreview" topLeftCell="S13" zoomScale="80" zoomScaleNormal="70" zoomScaleSheetLayoutView="80" workbookViewId="0">
      <selection activeCell="C19" sqref="C19"/>
    </sheetView>
  </sheetViews>
  <sheetFormatPr baseColWidth="10" defaultColWidth="11.42578125" defaultRowHeight="14.25" x14ac:dyDescent="0.25"/>
  <cols>
    <col min="1" max="1" width="41.28515625" style="2" customWidth="1"/>
    <col min="2" max="2" width="40.42578125" style="2" customWidth="1"/>
    <col min="3" max="3" width="40.42578125" style="115" customWidth="1"/>
    <col min="4" max="4" width="40.42578125" style="2" customWidth="1"/>
    <col min="5" max="5" width="40.42578125" style="115" customWidth="1"/>
    <col min="6" max="6" width="27" style="5" customWidth="1"/>
    <col min="7" max="7" width="27" style="118" customWidth="1"/>
    <col min="8" max="8" width="19" style="5" customWidth="1"/>
    <col min="9" max="9" width="19" style="118" customWidth="1"/>
    <col min="10" max="10" width="26.7109375" style="5" customWidth="1"/>
    <col min="11" max="11" width="29.7109375" style="2" customWidth="1"/>
    <col min="12" max="12" width="17.7109375" style="5" customWidth="1"/>
    <col min="13" max="13" width="18.5703125" style="2" customWidth="1"/>
    <col min="14" max="14" width="21.7109375" style="2" customWidth="1"/>
    <col min="15" max="15" width="21.7109375" style="115" customWidth="1"/>
    <col min="16" max="16" width="19.85546875" style="2" customWidth="1"/>
    <col min="17" max="17" width="93.85546875" style="2" customWidth="1"/>
    <col min="18" max="18" width="32.85546875" style="2" customWidth="1"/>
    <col min="19" max="19" width="36.42578125" style="5" customWidth="1"/>
    <col min="20" max="20" width="58.42578125" style="2" customWidth="1"/>
    <col min="21" max="21" width="30.42578125" style="2" customWidth="1"/>
    <col min="22" max="22" width="97.140625" style="2" customWidth="1"/>
    <col min="23" max="23" width="97.140625" style="441" customWidth="1"/>
    <col min="24" max="24" width="30.42578125" style="2" customWidth="1"/>
    <col min="25" max="25" width="36" style="2" hidden="1" customWidth="1"/>
    <col min="26" max="26" width="0" style="2" hidden="1" customWidth="1"/>
    <col min="27" max="73" width="11.42578125" style="2" hidden="1" customWidth="1"/>
    <col min="74" max="74" width="11.42578125" style="2" customWidth="1"/>
    <col min="75" max="16384" width="11.42578125" style="2"/>
  </cols>
  <sheetData>
    <row r="1" spans="1:73" ht="21" customHeight="1" x14ac:dyDescent="0.25">
      <c r="A1" s="573"/>
      <c r="B1" s="573"/>
      <c r="C1" s="573"/>
      <c r="D1" s="573"/>
      <c r="E1" s="72"/>
      <c r="F1" s="574" t="s">
        <v>0</v>
      </c>
      <c r="G1" s="575"/>
      <c r="H1" s="575"/>
      <c r="I1" s="575"/>
      <c r="J1" s="575"/>
      <c r="K1" s="575"/>
      <c r="L1" s="575"/>
      <c r="M1" s="575"/>
      <c r="N1" s="575"/>
      <c r="O1" s="575"/>
      <c r="P1" s="575"/>
      <c r="Q1" s="575"/>
      <c r="R1" s="575"/>
      <c r="S1" s="575"/>
      <c r="T1" s="576"/>
      <c r="U1" s="583" t="s">
        <v>223</v>
      </c>
      <c r="V1" s="584"/>
      <c r="W1" s="450"/>
      <c r="X1" s="1"/>
      <c r="Y1" s="1"/>
    </row>
    <row r="2" spans="1:73" ht="22.5" customHeight="1" x14ac:dyDescent="0.25">
      <c r="A2" s="573"/>
      <c r="B2" s="573"/>
      <c r="C2" s="573"/>
      <c r="D2" s="573"/>
      <c r="E2" s="73"/>
      <c r="F2" s="577"/>
      <c r="G2" s="578"/>
      <c r="H2" s="578"/>
      <c r="I2" s="578"/>
      <c r="J2" s="578"/>
      <c r="K2" s="578"/>
      <c r="L2" s="578"/>
      <c r="M2" s="578"/>
      <c r="N2" s="578"/>
      <c r="O2" s="578"/>
      <c r="P2" s="578"/>
      <c r="Q2" s="578"/>
      <c r="R2" s="578"/>
      <c r="S2" s="578"/>
      <c r="T2" s="579"/>
      <c r="U2" s="583" t="s">
        <v>149</v>
      </c>
      <c r="V2" s="584"/>
      <c r="W2" s="450"/>
      <c r="X2" s="1"/>
      <c r="Y2" s="1"/>
    </row>
    <row r="3" spans="1:73" ht="21" customHeight="1" x14ac:dyDescent="0.25">
      <c r="A3" s="573"/>
      <c r="B3" s="573"/>
      <c r="C3" s="573"/>
      <c r="D3" s="573"/>
      <c r="E3" s="73"/>
      <c r="F3" s="577"/>
      <c r="G3" s="578"/>
      <c r="H3" s="578"/>
      <c r="I3" s="578"/>
      <c r="J3" s="578"/>
      <c r="K3" s="578"/>
      <c r="L3" s="578"/>
      <c r="M3" s="578"/>
      <c r="N3" s="578"/>
      <c r="O3" s="578"/>
      <c r="P3" s="578"/>
      <c r="Q3" s="578"/>
      <c r="R3" s="578"/>
      <c r="S3" s="578"/>
      <c r="T3" s="579"/>
      <c r="U3" s="583" t="s">
        <v>150</v>
      </c>
      <c r="V3" s="584"/>
      <c r="W3" s="450"/>
      <c r="X3" s="1"/>
      <c r="Y3" s="1"/>
    </row>
    <row r="4" spans="1:73" ht="20.25" customHeight="1" x14ac:dyDescent="0.25">
      <c r="A4" s="573"/>
      <c r="B4" s="573"/>
      <c r="C4" s="573"/>
      <c r="D4" s="573"/>
      <c r="E4" s="74"/>
      <c r="F4" s="580"/>
      <c r="G4" s="581"/>
      <c r="H4" s="581"/>
      <c r="I4" s="581"/>
      <c r="J4" s="581"/>
      <c r="K4" s="581"/>
      <c r="L4" s="581"/>
      <c r="M4" s="581"/>
      <c r="N4" s="581"/>
      <c r="O4" s="581"/>
      <c r="P4" s="581"/>
      <c r="Q4" s="581"/>
      <c r="R4" s="581"/>
      <c r="S4" s="581"/>
      <c r="T4" s="582"/>
      <c r="U4" s="583" t="s">
        <v>1</v>
      </c>
      <c r="V4" s="584"/>
      <c r="W4" s="450"/>
      <c r="X4" s="1"/>
      <c r="Y4" s="1"/>
    </row>
    <row r="5" spans="1:73" ht="8.25" customHeight="1" x14ac:dyDescent="0.25">
      <c r="B5" s="3"/>
      <c r="C5" s="116"/>
      <c r="D5" s="3"/>
      <c r="E5" s="116"/>
      <c r="F5" s="4"/>
      <c r="G5" s="117"/>
      <c r="H5" s="4"/>
      <c r="I5" s="117"/>
      <c r="J5" s="4"/>
      <c r="K5" s="4"/>
      <c r="L5" s="4"/>
      <c r="M5" s="4"/>
      <c r="N5" s="4"/>
      <c r="O5" s="117"/>
      <c r="P5" s="4"/>
      <c r="Q5" s="4"/>
      <c r="X5" s="6"/>
      <c r="Y5" s="6"/>
    </row>
    <row r="6" spans="1:73" ht="15" x14ac:dyDescent="0.25">
      <c r="A6" s="553" t="s">
        <v>2</v>
      </c>
      <c r="B6" s="553"/>
      <c r="C6" s="553"/>
      <c r="D6" s="553"/>
      <c r="E6" s="75"/>
      <c r="F6" s="567" t="str">
        <f>[20]IdentRiesgo!B2</f>
        <v>Gestión de Control Disciplinario Interno</v>
      </c>
      <c r="G6" s="568"/>
      <c r="H6" s="568"/>
      <c r="I6" s="568"/>
      <c r="J6" s="568"/>
      <c r="K6" s="568"/>
      <c r="L6" s="568"/>
      <c r="M6" s="568"/>
      <c r="N6" s="568"/>
      <c r="O6" s="568"/>
      <c r="P6" s="568"/>
      <c r="Q6" s="568"/>
      <c r="R6" s="568"/>
      <c r="S6" s="568"/>
      <c r="T6" s="568"/>
      <c r="U6" s="568"/>
      <c r="V6" s="569"/>
      <c r="W6" s="445"/>
      <c r="X6" s="6"/>
      <c r="Y6" s="6"/>
    </row>
    <row r="7" spans="1:73" ht="6.75" customHeight="1" x14ac:dyDescent="0.25">
      <c r="B7" s="3"/>
      <c r="C7" s="116"/>
      <c r="D7" s="3"/>
      <c r="E7" s="116"/>
      <c r="F7" s="7"/>
      <c r="G7" s="121"/>
      <c r="H7" s="7"/>
      <c r="I7" s="121"/>
      <c r="J7" s="7"/>
      <c r="K7" s="7"/>
      <c r="L7" s="7"/>
      <c r="M7" s="7"/>
      <c r="N7" s="7"/>
      <c r="O7" s="121"/>
      <c r="P7" s="7"/>
      <c r="Q7" s="7"/>
      <c r="R7" s="8"/>
      <c r="S7" s="8"/>
      <c r="T7" s="8"/>
      <c r="U7" s="8"/>
      <c r="V7" s="8"/>
      <c r="W7" s="444"/>
      <c r="X7" s="6"/>
      <c r="Y7" s="6"/>
    </row>
    <row r="8" spans="1:73" ht="39.75" customHeight="1" x14ac:dyDescent="0.25">
      <c r="A8" s="553" t="s">
        <v>3</v>
      </c>
      <c r="B8" s="553"/>
      <c r="C8" s="553"/>
      <c r="D8" s="553"/>
      <c r="E8" s="75"/>
      <c r="F8" s="570" t="str">
        <f>[20]IdentRiesgo!B3</f>
        <v>Investigar y fallar sobre presuntas conductas de los servidores públicos del Instituto de conformidad con las disposiciones establecidas en el Código Disciplinario Único y normas concordantes</v>
      </c>
      <c r="G8" s="571"/>
      <c r="H8" s="571"/>
      <c r="I8" s="571"/>
      <c r="J8" s="571"/>
      <c r="K8" s="571"/>
      <c r="L8" s="571"/>
      <c r="M8" s="571"/>
      <c r="N8" s="571"/>
      <c r="O8" s="571"/>
      <c r="P8" s="571"/>
      <c r="Q8" s="571"/>
      <c r="R8" s="571"/>
      <c r="S8" s="571"/>
      <c r="T8" s="571"/>
      <c r="U8" s="571"/>
      <c r="V8" s="572"/>
      <c r="W8" s="451"/>
      <c r="X8" s="9"/>
      <c r="Y8" s="9"/>
    </row>
    <row r="9" spans="1:73" ht="6.75" customHeight="1" x14ac:dyDescent="0.25">
      <c r="B9" s="10"/>
      <c r="C9" s="119"/>
      <c r="D9" s="10"/>
      <c r="E9" s="119"/>
      <c r="F9" s="11"/>
      <c r="G9" s="122"/>
      <c r="H9" s="11"/>
      <c r="I9" s="122"/>
      <c r="J9" s="11"/>
      <c r="K9" s="11"/>
      <c r="L9" s="11"/>
      <c r="M9" s="11"/>
      <c r="N9" s="11"/>
      <c r="O9" s="122"/>
      <c r="P9" s="11"/>
      <c r="Q9" s="11"/>
      <c r="R9" s="8"/>
      <c r="S9" s="8"/>
      <c r="T9" s="8"/>
      <c r="U9" s="8"/>
      <c r="V9" s="8"/>
      <c r="W9" s="444"/>
      <c r="X9" s="6"/>
      <c r="Y9" s="6"/>
    </row>
    <row r="10" spans="1:73" ht="15" x14ac:dyDescent="0.25">
      <c r="A10" s="553" t="s">
        <v>4</v>
      </c>
      <c r="B10" s="553"/>
      <c r="C10" s="553"/>
      <c r="D10" s="553"/>
      <c r="E10" s="75"/>
      <c r="F10" s="554" t="s">
        <v>55</v>
      </c>
      <c r="G10" s="555"/>
      <c r="H10" s="555"/>
      <c r="I10" s="555"/>
      <c r="J10" s="555"/>
      <c r="K10" s="555"/>
      <c r="L10" s="555"/>
      <c r="M10" s="555"/>
      <c r="N10" s="555"/>
      <c r="O10" s="555"/>
      <c r="P10" s="555"/>
      <c r="Q10" s="555"/>
      <c r="R10" s="555"/>
      <c r="S10" s="555"/>
      <c r="T10" s="555"/>
      <c r="U10" s="555"/>
      <c r="V10" s="556"/>
      <c r="W10" s="443"/>
      <c r="X10" s="12"/>
      <c r="Y10" s="12"/>
    </row>
    <row r="11" spans="1:73" ht="5.25" customHeight="1" x14ac:dyDescent="0.25">
      <c r="B11" s="3"/>
      <c r="C11" s="116"/>
      <c r="D11" s="3"/>
      <c r="E11" s="116"/>
      <c r="F11" s="13"/>
      <c r="G11" s="141"/>
      <c r="H11" s="13"/>
      <c r="I11" s="141"/>
      <c r="J11" s="13"/>
      <c r="K11" s="13"/>
      <c r="L11" s="13"/>
      <c r="M11" s="13"/>
      <c r="N11" s="13"/>
      <c r="O11" s="141"/>
      <c r="P11" s="13"/>
      <c r="Q11" s="13"/>
      <c r="R11" s="8"/>
      <c r="S11" s="8"/>
      <c r="T11" s="8"/>
      <c r="U11" s="8"/>
      <c r="V11" s="8"/>
      <c r="W11" s="444"/>
      <c r="X11" s="6"/>
      <c r="Y11" s="6"/>
    </row>
    <row r="12" spans="1:73" ht="15" x14ac:dyDescent="0.25">
      <c r="A12" s="553" t="s">
        <v>5</v>
      </c>
      <c r="B12" s="553"/>
      <c r="C12" s="553"/>
      <c r="D12" s="553"/>
      <c r="E12" s="75"/>
      <c r="F12" s="554" t="s">
        <v>222</v>
      </c>
      <c r="G12" s="555"/>
      <c r="H12" s="555"/>
      <c r="I12" s="555"/>
      <c r="J12" s="555"/>
      <c r="K12" s="555"/>
      <c r="L12" s="555"/>
      <c r="M12" s="555"/>
      <c r="N12" s="555"/>
      <c r="O12" s="555"/>
      <c r="P12" s="555"/>
      <c r="Q12" s="555"/>
      <c r="R12" s="555"/>
      <c r="S12" s="555"/>
      <c r="T12" s="555"/>
      <c r="U12" s="555"/>
      <c r="V12" s="555"/>
      <c r="W12" s="555"/>
      <c r="X12" s="556"/>
      <c r="Y12" s="12"/>
      <c r="AB12" s="2" t="s">
        <v>6</v>
      </c>
    </row>
    <row r="13" spans="1:73" ht="15.75" thickBot="1" x14ac:dyDescent="0.3">
      <c r="B13" s="3"/>
      <c r="C13" s="116"/>
      <c r="D13" s="3"/>
      <c r="E13" s="116"/>
      <c r="F13" s="14"/>
      <c r="G13" s="123"/>
      <c r="H13" s="15"/>
      <c r="I13" s="120"/>
      <c r="J13" s="15"/>
      <c r="K13" s="7"/>
      <c r="L13" s="15"/>
      <c r="M13" s="7"/>
      <c r="N13" s="7"/>
      <c r="O13" s="121"/>
      <c r="P13" s="7"/>
      <c r="Q13" s="7"/>
      <c r="R13" s="7"/>
      <c r="S13" s="15"/>
      <c r="T13" s="7"/>
      <c r="X13" s="6"/>
      <c r="Y13" s="6"/>
      <c r="AB13" s="2" t="s">
        <v>7</v>
      </c>
      <c r="AH13" s="557" t="s">
        <v>8</v>
      </c>
      <c r="AI13" s="557"/>
      <c r="AJ13" s="557"/>
      <c r="AK13" s="557"/>
      <c r="AL13" s="557"/>
      <c r="AM13" s="557"/>
      <c r="AN13" s="557"/>
      <c r="AO13" s="557"/>
      <c r="AP13" s="557"/>
      <c r="AQ13" s="557"/>
      <c r="AR13" s="557"/>
      <c r="AS13" s="557"/>
      <c r="AT13" s="557"/>
      <c r="AU13" s="557"/>
      <c r="AV13" s="557"/>
      <c r="AW13" s="557"/>
      <c r="AX13" s="557"/>
      <c r="AY13" s="557"/>
      <c r="AZ13" s="557"/>
      <c r="BB13" s="557" t="s">
        <v>9</v>
      </c>
      <c r="BC13" s="557"/>
      <c r="BD13" s="557"/>
      <c r="BE13" s="557"/>
      <c r="BF13" s="557"/>
      <c r="BG13" s="557"/>
      <c r="BH13" s="557"/>
      <c r="BI13" s="557"/>
      <c r="BJ13" s="557"/>
      <c r="BK13" s="557"/>
      <c r="BL13" s="557"/>
      <c r="BM13" s="557"/>
      <c r="BN13" s="557"/>
      <c r="BO13" s="557"/>
      <c r="BP13" s="557"/>
      <c r="BQ13" s="557"/>
      <c r="BR13" s="557"/>
      <c r="BS13" s="557"/>
      <c r="BT13" s="557"/>
      <c r="BU13" s="557"/>
    </row>
    <row r="14" spans="1:73" s="17" customFormat="1" ht="15" customHeight="1" x14ac:dyDescent="0.25">
      <c r="A14" s="558" t="s">
        <v>10</v>
      </c>
      <c r="B14" s="559"/>
      <c r="C14" s="559"/>
      <c r="D14" s="560"/>
      <c r="E14" s="76"/>
      <c r="F14" s="561" t="s">
        <v>11</v>
      </c>
      <c r="G14" s="561"/>
      <c r="H14" s="561"/>
      <c r="I14" s="136"/>
      <c r="J14" s="16"/>
      <c r="K14" s="562" t="s">
        <v>12</v>
      </c>
      <c r="L14" s="558" t="s">
        <v>13</v>
      </c>
      <c r="M14" s="559"/>
      <c r="N14" s="560"/>
      <c r="O14" s="142"/>
      <c r="P14" s="565" t="s">
        <v>14</v>
      </c>
      <c r="Q14" s="565"/>
      <c r="R14" s="565"/>
      <c r="S14" s="565" t="s">
        <v>15</v>
      </c>
      <c r="T14" s="565"/>
      <c r="U14" s="565"/>
      <c r="V14" s="561"/>
      <c r="W14" s="452"/>
    </row>
    <row r="15" spans="1:73" s="17" customFormat="1" ht="14.25" customHeight="1" x14ac:dyDescent="0.25">
      <c r="A15" s="563" t="s">
        <v>16</v>
      </c>
      <c r="B15" s="563" t="s">
        <v>17</v>
      </c>
      <c r="C15" s="143"/>
      <c r="D15" s="563" t="s">
        <v>18</v>
      </c>
      <c r="E15" s="143"/>
      <c r="F15" s="543" t="s">
        <v>19</v>
      </c>
      <c r="G15" s="543"/>
      <c r="H15" s="543"/>
      <c r="I15" s="137"/>
      <c r="J15" s="18"/>
      <c r="K15" s="563"/>
      <c r="L15" s="548" t="s">
        <v>20</v>
      </c>
      <c r="M15" s="549"/>
      <c r="N15" s="550"/>
      <c r="O15" s="144"/>
      <c r="P15" s="548" t="s">
        <v>21</v>
      </c>
      <c r="Q15" s="549"/>
      <c r="R15" s="550"/>
      <c r="S15" s="543" t="s">
        <v>22</v>
      </c>
      <c r="T15" s="543" t="s">
        <v>23</v>
      </c>
      <c r="U15" s="543" t="s">
        <v>4</v>
      </c>
      <c r="V15" s="543" t="s">
        <v>24</v>
      </c>
      <c r="W15" s="446"/>
    </row>
    <row r="16" spans="1:73" s="17" customFormat="1" ht="63" customHeight="1" x14ac:dyDescent="0.25">
      <c r="A16" s="566"/>
      <c r="B16" s="566"/>
      <c r="C16" s="138" t="s">
        <v>70</v>
      </c>
      <c r="D16" s="566"/>
      <c r="E16" s="138" t="s">
        <v>71</v>
      </c>
      <c r="F16" s="18" t="s">
        <v>25</v>
      </c>
      <c r="G16" s="137" t="s">
        <v>70</v>
      </c>
      <c r="H16" s="18" t="s">
        <v>9</v>
      </c>
      <c r="I16" s="137" t="s">
        <v>70</v>
      </c>
      <c r="J16" s="18" t="s">
        <v>26</v>
      </c>
      <c r="K16" s="564"/>
      <c r="L16" s="18" t="s">
        <v>25</v>
      </c>
      <c r="M16" s="18" t="s">
        <v>9</v>
      </c>
      <c r="N16" s="20" t="s">
        <v>26</v>
      </c>
      <c r="O16" s="138" t="s">
        <v>74</v>
      </c>
      <c r="P16" s="18" t="s">
        <v>27</v>
      </c>
      <c r="Q16" s="18" t="s">
        <v>23</v>
      </c>
      <c r="R16" s="18" t="s">
        <v>28</v>
      </c>
      <c r="S16" s="543"/>
      <c r="T16" s="543"/>
      <c r="U16" s="543"/>
      <c r="V16" s="543"/>
      <c r="W16" s="446" t="s">
        <v>235</v>
      </c>
    </row>
    <row r="17" spans="1:71" ht="2.25" customHeight="1" x14ac:dyDescent="0.25">
      <c r="A17" s="255"/>
      <c r="B17" s="255"/>
      <c r="C17" s="255"/>
      <c r="D17" s="255"/>
      <c r="E17" s="249"/>
      <c r="F17" s="250"/>
      <c r="G17" s="250"/>
      <c r="H17" s="251"/>
      <c r="I17" s="251"/>
      <c r="J17" s="157" t="str">
        <f>CONCATENATE(Y17,Z17,AA17,AB17,AC17)</f>
        <v xml:space="preserve">     </v>
      </c>
      <c r="K17" s="152"/>
      <c r="L17" s="596"/>
      <c r="M17" s="597"/>
      <c r="N17" s="157" t="str">
        <f>CONCATENATE(AF17,AG17,AH17,AI17,AJ17,AL17,AM17,AN17,AO17,AP17,AS17,AT17,AU17,AV17,AW17,BA17,BB17,BC17,BD17,BE17,BH17,BI17,BJ17,BK17,BL17,BO17,BP17,BQ17,BR17,BS17)</f>
        <v xml:space="preserve">                              </v>
      </c>
      <c r="O17" s="157"/>
      <c r="P17" s="254"/>
      <c r="Q17" s="257"/>
      <c r="R17" s="254"/>
      <c r="S17" s="256"/>
      <c r="T17" s="216"/>
      <c r="U17" s="114"/>
      <c r="V17" s="447" t="s">
        <v>122</v>
      </c>
      <c r="W17" s="447"/>
      <c r="X17" s="115"/>
      <c r="Y17" s="26" t="str">
        <f>IF(AND(F17=1,H17=5),$H$25,IF(AND(F17=1,H17=10),$J$25,IF(AND(F17=1,H17=20),$K$25," ")))</f>
        <v xml:space="preserve"> </v>
      </c>
      <c r="Z17" s="26" t="str">
        <f>IF(AND(F17=2,H17=5),$H$26,IF(AND(F17=2,H17=10),$J$26,IF(AND(F17=2,H17=20),$K$26," ")))</f>
        <v xml:space="preserve"> </v>
      </c>
      <c r="AA17" s="26" t="str">
        <f>IF(AND(F17=3,H17=5),$H$27,IF(AND(F17=3,H17=10),$J$27,IF(AND(F17=3,H17=20),$K$27," ")))</f>
        <v xml:space="preserve"> </v>
      </c>
      <c r="AB17" s="26" t="str">
        <f>IF(AND(F17=4,H17=5),$H$28,IF(AND(F17=4,H17=10),$J$28,IF(AND(F17=4,H17=20),$K$28," ")))</f>
        <v xml:space="preserve"> </v>
      </c>
      <c r="AC17" s="26" t="str">
        <f>IF(AND(F17=5,H17=5),$H$29,IF(AND(F17=5,H17=10),$J$29,IF(AND(F17=5,H17=20),$K$29," ")))</f>
        <v xml:space="preserve"> </v>
      </c>
      <c r="AE17" s="27" t="s">
        <v>30</v>
      </c>
      <c r="AF17" s="26" t="str">
        <f>IF(AND(L17&gt;0,[20]EvaluaciónRiesgoCorrupR1!$F$11&gt;75,F17=1,H17=5),$H$25,IF(AND(L17&gt;0,[20]EvaluaciónRiesgoCorrupR1!$F$11&gt;75,F17=1,H17=10),$J$25,IF(AND(L17&gt;0,[20]EvaluaciónRiesgoCorrupR1!$F$11&gt;75,F17=1,H17=20),$K$25," ")))</f>
        <v xml:space="preserve"> </v>
      </c>
      <c r="AG17" s="26" t="str">
        <f>IF(AND(L17&gt;0,[20]EvaluaciónRiesgoCorrupR1!$F$11&gt;75,F17=2,H17=5),$H$25,IF(AND(L17&gt;0,[20]EvaluaciónRiesgoCorrupR1!$F$11&gt;75,F17=2,H17=10),$J$25,IF(AND(L17&gt;0,[20]EvaluaciónRiesgoCorrupR1!$F$11&gt;75,F17=2,H17=20),$K$25," ")))</f>
        <v xml:space="preserve"> </v>
      </c>
      <c r="AH17" s="26" t="str">
        <f>IF(AND(L17&gt;0,[20]EvaluaciónRiesgoCorrupR1!$F$11&gt;75,F17=3,H17=5),$H$25,IF(AND(L17&gt;0,[20]EvaluaciónRiesgoCorrupR1!$F$11&gt;75,F17=3,H17=10),$J$25,IF(AND(L17&gt;0,[20]EvaluaciónRiesgoCorrupR1!$F$11&gt;75,F17=3,H17=20),$K$25," ")))</f>
        <v xml:space="preserve"> </v>
      </c>
      <c r="AI17" s="26" t="str">
        <f>IF(AND(L17&gt;0,[20]EvaluaciónRiesgoCorrupR1!$F$11&gt;75,F17=4,H17=5),$H$26,IF(AND(L17&gt;0,[20]EvaluaciónRiesgoCorrupR1!$F$11&gt;75,F17=4,H17=10),$J$26,IF(AND(L17&gt;0,[20]EvaluaciónRiesgoCorrupR1!$F$11&gt;75,F17=4,H17=20),$K$26," ")))</f>
        <v xml:space="preserve"> </v>
      </c>
      <c r="AJ17" s="26" t="str">
        <f>IF(AND(L17&gt;0,[20]EvaluaciónRiesgoCorrupR1!$F$11&gt;75,F17=5,H17=5),$H$27,IF(AND(L17&gt;0,[20]EvaluaciónRiesgoCorrupR1!$F$11&gt;75,F17=5,H17=10),$J$27,IF(AND(L17&gt;0,[20]EvaluaciónRiesgoCorrupR1!$F$11&gt;75,F17=5,H17=20),$K$27," ")))</f>
        <v xml:space="preserve"> </v>
      </c>
      <c r="AK17" s="27" t="s">
        <v>31</v>
      </c>
      <c r="AL17" s="26" t="str">
        <f>IF(AND(L17&gt;0,[20]EvaluaciónRiesgoCorrupR1!$F$11&gt;50,[20]EvaluaciónRiesgoCorrupR1!$F$11&lt;76,F17=1,H17=5),$H$25,IF(AND(L17&gt;0,[20]EvaluaciónRiesgoCorrupR1!$F$11&gt;50,[20]EvaluaciónRiesgoCorrupR1!$F$11&lt;76,F17=1,H17=10),$J$25,IF(AND(L17&gt;0,[20]EvaluaciónRiesgoCorrupR1!$F$11&gt;50,[20]EvaluaciónRiesgoCorrupR1!$F$11&lt;76,F17=1,H17=20),$K$25," ")))</f>
        <v xml:space="preserve"> </v>
      </c>
      <c r="AM17" s="26" t="str">
        <f>IF(AND(L17&gt;0,[20]EvaluaciónRiesgoCorrupR1!$F$11&gt;50,[20]EvaluaciónRiesgoCorrupR1!$F$11&lt;76,F17=2,H17=5),$H$25,IF(AND(L17&gt;0,[20]EvaluaciónRiesgoCorrupR1!$F$11&gt;50,[20]EvaluaciónRiesgoCorrupR1!$F$11&lt;76,F17=2,H17=10),$J$25,IF(AND(L17&gt;0,[20]EvaluaciónRiesgoCorrupR1!$F$11&gt;50,[20]EvaluaciónRiesgoCorrupR1!$F$11&lt;76,F17=2,H17=20),$K$25," ")))</f>
        <v xml:space="preserve"> </v>
      </c>
      <c r="AN17" s="26" t="str">
        <f>IF(AND(L17&gt;0,[20]EvaluaciónRiesgoCorrupR1!$F$11&gt;50,[20]EvaluaciónRiesgoCorrupR1!$F$11&lt;76,F17=3,H17=5),$H$26,IF(AND(L17&gt;0,[20]EvaluaciónRiesgoCorrupR1!$F$11&gt;50,[20]EvaluaciónRiesgoCorrupR1!$F$11&lt;76,F17=3,H17=10),$J$26,IF(AND(L17&gt;0,[20]EvaluaciónRiesgoCorrupR1!$F$11&gt;50,[20]EvaluaciónRiesgoCorrupR1!$F$11&lt;76,F17=3,H17=20),$K$26," ")))</f>
        <v xml:space="preserve"> </v>
      </c>
      <c r="AO17" s="26" t="str">
        <f>IF(AND(L17&gt;0,[20]EvaluaciónRiesgoCorrupR1!$F$11&gt;50,[20]EvaluaciónRiesgoCorrupR1!$F$11&lt;76,F17=4,H17=5),$H$27,IF(AND(L17&gt;0,[20]EvaluaciónRiesgoCorrupR1!$F$11&gt;50,[20]EvaluaciónRiesgoCorrupR1!$F$11&lt;76,F17=4,H17=10),$J$27,IF(AND(L17&gt;0,[20]EvaluaciónRiesgoCorrupR1!$F$11&gt;50,[20]EvaluaciónRiesgoCorrupR1!$F$11&lt;76,F17=4,H17=20),$K$27," ")))</f>
        <v xml:space="preserve"> </v>
      </c>
      <c r="AP17" s="26" t="str">
        <f>IF(AND(L17&gt;0,[20]EvaluaciónRiesgoCorrupR1!$F$11&gt;50,[20]EvaluaciónRiesgoCorrupR1!$F$11&lt;76,F17=5,H17=5),$H$28,IF(AND(L17&gt;0,[20]EvaluaciónRiesgoCorrupR1!$F$11&gt;50,[20]EvaluaciónRiesgoCorrupR1!$F$11&lt;76,F17=5,H17=10),$J$28,IF(AND(L17&gt;0,[20]EvaluaciónRiesgoCorrupR1!$F$11&gt;50,[20]EvaluaciónRiesgoCorrupR1!$F$11&lt;76,F17=5,H17=20),$K$28," ")))</f>
        <v xml:space="preserve"> </v>
      </c>
      <c r="AR17" s="27" t="s">
        <v>32</v>
      </c>
      <c r="AS17" s="26" t="str">
        <f>IF(AND(L17&gt;0,[20]EvaluaciónRiesgoCorrupR1!$F$11&lt;51,F17=1,H17=5),$H$25,IF(AND(L17&gt;0,[20]EvaluaciónRiesgoCorrupR1!$F$11&lt;51,F17=1,H17=10),$J$25,IF(AND(L17&gt;0,[20]EvaluaciónRiesgoCorrupR1!$F$11&lt;51,F17=1,H17=20),K$25," ")))</f>
        <v xml:space="preserve"> </v>
      </c>
      <c r="AT17" s="26" t="str">
        <f>IF(AND(L17&gt;0,[20]EvaluaciónRiesgoCorrupR1!$F$11&lt;51,F17=2,H17=5),$H$26,IF(AND(L17&gt;0,[20]EvaluaciónRiesgoCorrupR1!$F$11&lt;51,F17=2,H17=10),$J$26,IF(AND(L17&gt;0,[20]EvaluaciónRiesgoCorrupR1!$F$11&lt;51,F17=2,H17=20),K$26," ")))</f>
        <v xml:space="preserve"> </v>
      </c>
      <c r="AU17" s="26" t="str">
        <f>IF(AND(L17&gt;0,[20]EvaluaciónRiesgoCorrupR1!$F$11&lt;51,F17=3,H17=5),$H$27,IF(AND(L17&gt;0,[20]EvaluaciónRiesgoCorrupR1!$F$11&lt;51,F17=3,H17=10),$J$27,IF(AND(L17&gt;0,[20]EvaluaciónRiesgoCorrupR1!$F$11&lt;51,F17=3,H17=20),K$27," ")))</f>
        <v xml:space="preserve"> </v>
      </c>
      <c r="AV17" s="26" t="str">
        <f>IF(AND(L17&gt;0,[20]EvaluaciónRiesgoCorrupR1!$F$11&lt;51,F17=4,H17=5),$H$28,IF(AND(L17&gt;0,[20]EvaluaciónRiesgoCorrupR1!$F$11&lt;51,F17=4,H17=10),$J$28,IF(AND(L17&gt;0,[20]EvaluaciónRiesgoCorrupR1!$F$11&lt;51,F17=4,H17=20),K$28," ")))</f>
        <v xml:space="preserve"> </v>
      </c>
      <c r="AW17" s="26" t="str">
        <f>IF(AND(L17&gt;0,[20]EvaluaciónRiesgoCorrupR1!$F$11&lt;51,F17=5,H17=5),$H$29,IF(AND(L17&gt;0,[20]EvaluaciónRiesgoCorrupR1!$F$11&lt;51,F17=5,H17=10),$J$29,IF(AND(L17&gt;0,[20]EvaluaciónRiesgoCorrupR1!$F$11&lt;51,F17=5,H17=20),K$29," ")))</f>
        <v xml:space="preserve"> </v>
      </c>
      <c r="AZ17" s="27" t="s">
        <v>30</v>
      </c>
      <c r="BA17" s="26" t="str">
        <f>IF(AND(M17&gt;0,[20]EvaluaciónRiesgoCorrupR1!$F$11&gt;75,F17=1,H17=5),$H$25,IF(AND(M17&gt;0,[20]EvaluaciónRiesgoCorrupR1!$F$11&gt;75,F17=1,H17=10),$H$25,IF(AND(M17&gt;0,[20]EvaluaciónRiesgoCorrupR1!$F$11&gt;75,F17=1,H17=20),$H$25," ")))</f>
        <v xml:space="preserve"> </v>
      </c>
      <c r="BB17" s="26" t="str">
        <f>IF(AND(M17&gt;0,[20]EvaluaciónRiesgoCorrupR1!$F$11&gt;75,F17=2,H17=5),$H$26,IF(AND(M17&gt;0,[20]EvaluaciónRiesgoCorrupR1!$F$11&gt;75,F17=2,H17=10),$H$26,IF(AND(M17&gt;0,[20]EvaluaciónRiesgoCorrupR1!$F$11&gt;75,F17=2,H17=20),$H$26," ")))</f>
        <v xml:space="preserve"> </v>
      </c>
      <c r="BC17" s="26" t="str">
        <f>IF(AND(M17&gt;0,[20]EvaluaciónRiesgoCorrupR1!$F$11&gt;75,F17=3,H17=5),$H$27,IF(AND(M17&gt;0,[20]EvaluaciónRiesgoCorrupR1!$F$11&gt;75,F17=3,H17=10),$H$27,IF(AND(M17&gt;0,[20]EvaluaciónRiesgoCorrupR1!$F$11&gt;75,F17=3,H17=20),$H$27," ")))</f>
        <v xml:space="preserve"> </v>
      </c>
      <c r="BD17" s="26" t="str">
        <f>IF(AND(M17&gt;0,[20]EvaluaciónRiesgoCorrupR1!$F$11&gt;75,F17=4,H17=5),$H$28,IF(AND(M17&gt;0,[20]EvaluaciónRiesgoCorrupR1!$F$11&gt;75,F17=4,H17=10),$H$28,IF(AND(M17&gt;0,[20]EvaluaciónRiesgoCorrupR1!$F$11&gt;75,F17=4,H17=20),$H$28," ")))</f>
        <v xml:space="preserve"> </v>
      </c>
      <c r="BE17" s="26" t="str">
        <f>IF(AND(M17&gt;0,[20]EvaluaciónRiesgoCorrupR1!$F$11&gt;75,F17=5,H17=5),$H$29,IF(AND(M17&gt;0,[20]EvaluaciónRiesgoCorrupR1!$F$11&gt;75,F17=5,H17=10),$H$29,IF(AND(M17&gt;0,[20]EvaluaciónRiesgoCorrupR1!$F$11&gt;75,F17=5,H17=20),$H$29," ")))</f>
        <v xml:space="preserve"> </v>
      </c>
      <c r="BG17" s="27" t="s">
        <v>31</v>
      </c>
      <c r="BH17" s="26" t="str">
        <f>IF(AND(M17&gt;0,[20]EvaluaciónRiesgoCorrupR1!$F$11&gt;50,[20]EvaluaciónRiesgoCorrupR1!$F$11&lt;76,F17=1,H17=5),$H$25,IF(AND(M17&gt;0,[20]EvaluaciónRiesgoCorrupR1!$F$11&gt;50,[20]EvaluaciónRiesgoCorrupR1!$F$11&lt;76,F17=1,H17=10),$H$25,IF(AND(M17&gt;0,[20]EvaluaciónRiesgoCorrupR1!$F$11&gt;50,[20]EvaluaciónRiesgoCorrupR1!$F$11&lt;76,F17=1,H17=20),$J$25," ")))</f>
        <v xml:space="preserve"> </v>
      </c>
      <c r="BI17" s="26" t="str">
        <f>IF(AND(M17&gt;0,[20]EvaluaciónRiesgoCorrupR1!$F$11&gt;50,[20]EvaluaciónRiesgoCorrupR1!$F$11&lt;76,F17=2,H17=5),$H$26,IF(AND(M17&gt;0,[20]EvaluaciónRiesgoCorrupR1!$F$11&gt;50,[20]EvaluaciónRiesgoCorrupR1!$F$11&lt;76,F17=2,H17=10),$H$26,IF(AND(M17&gt;0,[20]EvaluaciónRiesgoCorrupR1!$F$11&gt;50,[20]EvaluaciónRiesgoCorrupR1!$F$11&lt;76,F17=2,H17=20),$J$26," ")))</f>
        <v xml:space="preserve"> </v>
      </c>
      <c r="BJ17" s="26" t="str">
        <f>IF(AND(M17&gt;0,[20]EvaluaciónRiesgoCorrupR1!$F$11&gt;50,[20]EvaluaciónRiesgoCorrupR1!$F$11&lt;76,F17=3,H17=5),$H$27,IF(AND(M17&gt;0,[20]EvaluaciónRiesgoCorrupR1!$F$11&gt;50,[20]EvaluaciónRiesgoCorrupR1!$F$11&lt;76,F17=3,H17=10),$H$27,IF(AND(M17&gt;0,[20]EvaluaciónRiesgoCorrupR1!$F$11&gt;50,[20]EvaluaciónRiesgoCorrupR1!$F$11&lt;76,F17=3,H17=20),$J$27," ")))</f>
        <v xml:space="preserve"> </v>
      </c>
      <c r="BK17" s="26" t="str">
        <f>IF(AND(M17&gt;0,[20]EvaluaciónRiesgoCorrupR1!$F$11&gt;50,[20]EvaluaciónRiesgoCorrupR1!$F$11&lt;76,F17=4,H17=5),$H$28,IF(AND(M17&gt;0,[20]EvaluaciónRiesgoCorrupR1!$F$11&gt;50,[20]EvaluaciónRiesgoCorrupR1!$F$11&lt;76,F17=4,H17=10),$H$28,IF(AND(M17&gt;0,[20]EvaluaciónRiesgoCorrupR1!$F$11&gt;50,[20]EvaluaciónRiesgoCorrupR1!$F$11&lt;76,F17=4,H17=20),$J$28," ")))</f>
        <v xml:space="preserve"> </v>
      </c>
      <c r="BL17" s="26" t="str">
        <f>IF(AND(M17&gt;0,[20]EvaluaciónRiesgoCorrupR1!$F$11&gt;50,[20]EvaluaciónRiesgoCorrupR1!$F$11&lt;76,F17=5,H17=5),$H$29,IF(AND(M17&gt;0,[20]EvaluaciónRiesgoCorrupR1!$F$11&gt;50,[20]EvaluaciónRiesgoCorrupR1!$F$11&lt;76,F17=5,H17=10),$H$29,IF(AND(M17&gt;0,[20]EvaluaciónRiesgoCorrupR1!$F$11&gt;50,[20]EvaluaciónRiesgoCorrupR1!$F$11&lt;76,F17=5,H17=20),$J$29," ")))</f>
        <v xml:space="preserve"> </v>
      </c>
      <c r="BN17" s="27" t="s">
        <v>32</v>
      </c>
      <c r="BO17" s="26" t="str">
        <f>IF(AND(M17&gt;0,[20]EvaluaciónRiesgoCorrupR1!$F$11&lt;51,F17=1,H17=5),$H$25,IF(AND(M17&gt;0,[20]EvaluaciónRiesgoCorrupR1!$F$11&lt;51,F17=1,H17=10),$J$25,IF(AND(M17&gt;0,[20]EvaluaciónRiesgoCorrupR1!$F$11&lt;51,F17=1,H17=20),$K$25," ")))</f>
        <v xml:space="preserve"> </v>
      </c>
      <c r="BP17" s="26" t="str">
        <f>IF(AND(M17&gt;0,[20]EvaluaciónRiesgoCorrupR1!$F$11&lt;51,F17=2,H17=5),$H$26,IF(AND(M17&gt;0,[20]EvaluaciónRiesgoCorrupR1!$F$11&lt;51,F17=2,H17=10),$J$26,IF(AND(M17&gt;0,[20]EvaluaciónRiesgoCorrupR1!$F$11&lt;51,F17=2,H17=20),$K$26," ")))</f>
        <v xml:space="preserve"> </v>
      </c>
      <c r="BQ17" s="26" t="str">
        <f>IF(AND(M17&gt;0,[20]EvaluaciónRiesgoCorrupR1!$F$11&lt;51,F17=3,H17=5),$H$27,IF(AND(M17&gt;0,[20]EvaluaciónRiesgoCorrupR1!$F$11&lt;51,F17=3,H17=10),$J$27,IF(AND(M17&gt;0,[20]EvaluaciónRiesgoCorrupR1!$F$11&lt;51,F17=3,H17=20),$K$27," ")))</f>
        <v xml:space="preserve"> </v>
      </c>
      <c r="BR17" s="26" t="str">
        <f>IF(AND(M17&gt;0,[20]EvaluaciónRiesgoCorrupR1!$F$11&lt;51,F17=4,H17=5),$H$28,IF(AND(M17&gt;0,[20]EvaluaciónRiesgoCorrupR1!$F$11&lt;51,F17=4,H17=10),$J$28,IF(AND(M17&gt;0,[20]EvaluaciónRiesgoCorrupR1!$F$11&lt;51,F17=4,H17=20),$K$28," ")))</f>
        <v xml:space="preserve"> </v>
      </c>
      <c r="BS17" s="26" t="str">
        <f>IF(AND(M17&gt;0,[20]EvaluaciónRiesgoCorrupR1!$F$11&lt;51,F17=5,H17=5),$H$29,IF(AND(M17&gt;0,[20]EvaluaciónRiesgoCorrupR1!$F$11&lt;51,F17=5,H17=10),$J$29,IF(AND(M17&gt;0,[20]EvaluaciónRiesgoCorrupR1!$F$11&lt;51,F17=5,H17=20),$K$29," ")))</f>
        <v xml:space="preserve"> </v>
      </c>
    </row>
    <row r="18" spans="1:71" ht="346.5" customHeight="1" x14ac:dyDescent="0.25">
      <c r="A18" s="255" t="str">
        <f>IF(ISTEXT([21]IdentificaciónRiesgos!$B7),[21]IdentificaciónRiesgos!$A7,"")</f>
        <v xml:space="preserve">Falta de ética y profesionalismo del funcionario instructor. </v>
      </c>
      <c r="B18" s="255" t="str">
        <f>IF(ISTEXT([21]IdentificaciónRiesgos!$B7),[21]IdentificaciónRiesgos!$B7,"")</f>
        <v xml:space="preserve">Proyectar fallo contrario a las evidencias  que constituyen el acervo probatorio recaudado para favorecer al indagado o al investigado. </v>
      </c>
      <c r="C18" s="255" t="str">
        <f>IF(ISTEXT([21]IdentificaciónRiesgos!$B7),[21]IdentificaciónRiesgos!$C7,"")</f>
        <v xml:space="preserve">Proyectar fallo en forma contraria a las pruebas que obran dentro de cada proceso con el fin de favorecer al indagado o al investigado </v>
      </c>
      <c r="D18" s="255" t="str">
        <f>IF(ISTEXT([21]IdentificaciónRiesgos!$B7),[21]IdentificaciónRiesgos!$D7,"")</f>
        <v xml:space="preserve"> Causal de Nulidad (Artículo 143 No. 3 del CDU). Pérdida de credibilidad del grupo y actuación disciplinaria por parte de la PGN. </v>
      </c>
      <c r="E18" s="249" t="str">
        <f>IF(ISTEXT([21]IdentificaciónRiesgos!$B7),VLOOKUP($C18,[21]DefiniciónRiesgos!$A$4:$F$9,6,FALSE),"")</f>
        <v>RIESGO DE CORRUPCIÓN</v>
      </c>
      <c r="F18" s="250">
        <f>IF(ISTEXT([21]IdentificaciónRiesgos!$B7),
IF(EXACT([21]AnálisisRiesgos!$B10,"X"),5,
IF(EXACT([21]AnálisisRiesgos!$C10,"X"),4,
IF(EXACT([21]AnálisisRiesgos!$D10,"X"),3,
IF(EXACT([21]AnálisisRiesgos!$E10,"X"),2,
IF(EXACT([21]AnálisisRiesgos!$F10,"X"),1,""))))),"")</f>
        <v>1</v>
      </c>
      <c r="G18" s="250" t="str">
        <f>IF(EXACT($F18,5),"Casí Seguro",
IF(EXACT($F18,4),"Probable",
IF(EXACT($F18,3),"Posible",
IF(EXACT($F18,2),"Improbable","Rara Vez"))))</f>
        <v>Rara Vez</v>
      </c>
      <c r="H18" s="251">
        <f>IF(EXACT($B18,""),"",
IF(EXACT($E18,"RIESGO DE GESTIÓN"),IF(EXACT([21]AnálisisRiesgos!$G10,"X"),5,
IF(EXACT([21]AnálisisRiesgos!$H10,"X"),4,
IF(EXACT([21]AnálisisRiesgos!$I10,"X"),3,
IF(EXACT([21]AnálisisRiesgos!$J10,"X"),2,1)))),
IF(EXACT([21]AnálisisRiesgos!$L10,"X"),20,
IF(EXACT([21]AnálisisRiesgos!$M10,"X"),10,5
))))</f>
        <v>10</v>
      </c>
      <c r="I18" s="251" t="str">
        <f>IF(EXACT($E18,"RIESGO DE GESTIÓN"),
IF(EXACT($H18,1),"Insignificante",
IF(EXACT($H18,2),"Menor",
IF(EXACT($H18,3),"Moderado",
IF(EXACT($H18,4),"Mayor","Catastrófico")))),
IF(EXACT($H18,5),"Moderado",
IF(EXACT($H18,10),"Mayor","Catastrófico")))</f>
        <v>Mayor</v>
      </c>
      <c r="J18" s="157" t="str">
        <f>CONCATENATE(Y18,Z18,AA18,AB18,AC18)</f>
        <v xml:space="preserve">B    </v>
      </c>
      <c r="K18" s="152" t="s">
        <v>163</v>
      </c>
      <c r="L18" s="588" t="s">
        <v>9</v>
      </c>
      <c r="M18" s="589"/>
      <c r="N18" s="157" t="str">
        <f>CONCATENATE(AF18,AG18,AH18,AI18,AJ18,AL18,AM18,AN18,AO18,AP18,AS18,AT18,AU18,AV18,AW18,BA18,BB18,BC18,BD18,BE18,BH18,BI18,BJ18,BK18,BL18,BO18,BP18,BQ18,BR18,BS18)</f>
        <v xml:space="preserve">B                             </v>
      </c>
      <c r="O18" s="157" t="s">
        <v>89</v>
      </c>
      <c r="P18" s="523" t="s">
        <v>285</v>
      </c>
      <c r="Q18" s="528" t="s">
        <v>286</v>
      </c>
      <c r="R18" s="523" t="s">
        <v>287</v>
      </c>
      <c r="S18" s="484" t="s">
        <v>288</v>
      </c>
      <c r="T18" s="257" t="s">
        <v>289</v>
      </c>
      <c r="U18" s="420" t="s">
        <v>234</v>
      </c>
      <c r="V18" s="456" t="s">
        <v>122</v>
      </c>
      <c r="W18" s="456" t="s">
        <v>293</v>
      </c>
      <c r="Y18" s="26" t="str">
        <f>IF(AND(F18=1,H18=5),$H$25,IF(AND(F18=1,H18=10),$J$25,IF(AND(F18=1,H18=20),$K$25," ")))</f>
        <v>B</v>
      </c>
      <c r="Z18" s="26" t="str">
        <f>IF(AND(F18=2,H18=5),$H$26,IF(AND(F18=2,H18=10),$J$26,IF(AND(F18=2,H18=20),$K$26," ")))</f>
        <v xml:space="preserve"> </v>
      </c>
      <c r="AA18" s="26" t="str">
        <f>IF(AND(F18=3,H18=5),$H$27,IF(AND(F18=3,H18=10),$J$27,IF(AND(F18=3,H18=20),$K$27," ")))</f>
        <v xml:space="preserve"> </v>
      </c>
      <c r="AB18" s="26" t="str">
        <f>IF(AND(F18=4,H18=5),$H$28,IF(AND(F18=4,H18=10),$J$28,IF(AND(F18=4,H18=20),$K$28," ")))</f>
        <v xml:space="preserve"> </v>
      </c>
      <c r="AC18" s="26" t="str">
        <f>IF(AND(F18=5,H18=5),$H$29,IF(AND(F18=5,H18=10),$J$29,IF(AND(F18=5,H18=20),$K$29," ")))</f>
        <v xml:space="preserve"> </v>
      </c>
      <c r="AF18" s="26" t="str">
        <f>IF(AND(L18&gt;0,[20]EvaluaciónRiesgoCorrupR1!$F$11&gt;75,F18=1,H18=5),$H$25,IF(AND(L18&gt;0,[20]EvaluaciónRiesgoCorrupR1!$F$11&gt;75,F18=1,H18=10),$J$25,IF(AND(L18&gt;0,[20]EvaluaciónRiesgoCorrupR1!$F$11&gt;75,F18=1,H18=20),$K$25," ")))</f>
        <v>B</v>
      </c>
      <c r="AG18" s="26" t="str">
        <f>IF(AND(L18&gt;0,[20]EvaluaciónRiesgoCorrupR1!$F$11&gt;75,F18=2,H18=5),$H$25,IF(AND(L18&gt;0,[20]EvaluaciónRiesgoCorrupR1!$F$11&gt;75,F18=2,H18=10),$J$25,IF(AND(L18&gt;0,[20]EvaluaciónRiesgoCorrupR1!$F$11&gt;75,F18=2,H18=20),$K$25," ")))</f>
        <v xml:space="preserve"> </v>
      </c>
      <c r="AH18" s="26" t="str">
        <f>IF(AND(L18&gt;0,[20]EvaluaciónRiesgoCorrupR1!$F$11&gt;75,F18=3,H18=5),$H$25,IF(AND(L18&gt;0,[20]EvaluaciónRiesgoCorrupR1!$F$11&gt;75,F18=3,H18=10),$J$25,IF(AND(L18&gt;0,[20]EvaluaciónRiesgoCorrupR1!$F$11&gt;75,F18=3,H18=20),$K$25," ")))</f>
        <v xml:space="preserve"> </v>
      </c>
      <c r="AI18" s="26" t="str">
        <f>IF(AND(L18&gt;0,[20]EvaluaciónRiesgoCorrupR1!$F$11&gt;75,F18=4,H18=5),$H$26,IF(AND(L18&gt;0,[20]EvaluaciónRiesgoCorrupR1!$F$11&gt;75,F18=4,H18=10),$J$26,IF(AND(L18&gt;0,[20]EvaluaciónRiesgoCorrupR1!$F$11&gt;75,F18=4,H18=20),$K$26," ")))</f>
        <v xml:space="preserve"> </v>
      </c>
      <c r="AJ18" s="26" t="str">
        <f>IF(AND(L18&gt;0,[20]EvaluaciónRiesgoCorrupR1!$F$11&gt;75,F18=5,H18=5),$H$27,IF(AND(L18&gt;0,[20]EvaluaciónRiesgoCorrupR1!$F$11&gt;75,F18=5,H18=10),$J$27,IF(AND(L18&gt;0,[20]EvaluaciónRiesgoCorrupR1!$F$11&gt;75,F18=5,H18=20),$K$27," ")))</f>
        <v xml:space="preserve"> </v>
      </c>
      <c r="AL18" s="26" t="str">
        <f>IF(AND(L18&gt;0,[20]EvaluaciónRiesgoCorrupR1!$F$11&gt;50,[20]EvaluaciónRiesgoCorrupR1!$F$11&lt;76,F18=1,H18=5),$H$25,IF(AND(L18&gt;0,[20]EvaluaciónRiesgoCorrupR1!$F$11&gt;50,[20]EvaluaciónRiesgoCorrupR1!$F$11&lt;76,F18=1,H18=10),$J$25,IF(AND(L18&gt;0,[20]EvaluaciónRiesgoCorrupR1!$F$11&gt;50,[20]EvaluaciónRiesgoCorrupR1!$F$11&lt;76,F18=1,H18=20),$K$25," ")))</f>
        <v xml:space="preserve"> </v>
      </c>
      <c r="AM18" s="26" t="str">
        <f>IF(AND(L18&gt;0,[20]EvaluaciónRiesgoCorrupR1!$F$11&gt;50,[20]EvaluaciónRiesgoCorrupR1!$F$11&lt;76,F18=2,H18=5),$H$25,IF(AND(L18&gt;0,[20]EvaluaciónRiesgoCorrupR1!$F$11&gt;50,[20]EvaluaciónRiesgoCorrupR1!$F$11&lt;76,F18=2,H18=10),$J$25,IF(AND(L18&gt;0,[20]EvaluaciónRiesgoCorrupR1!$F$11&gt;50,[20]EvaluaciónRiesgoCorrupR1!$F$11&lt;76,F18=2,H18=20),$K$25," ")))</f>
        <v xml:space="preserve"> </v>
      </c>
      <c r="AN18" s="26" t="str">
        <f>IF(AND(L18&gt;0,[20]EvaluaciónRiesgoCorrupR1!$F$11&gt;50,[20]EvaluaciónRiesgoCorrupR1!$F$11&lt;76,F18=3,H18=5),$H$26,IF(AND(L18&gt;0,[20]EvaluaciónRiesgoCorrupR1!$F$11&gt;50,[20]EvaluaciónRiesgoCorrupR1!$F$11&lt;76,F18=3,H18=10),$J$26,IF(AND(L18&gt;0,[20]EvaluaciónRiesgoCorrupR1!$F$11&gt;50,[20]EvaluaciónRiesgoCorrupR1!$F$11&lt;76,F18=3,H18=20),$K$26," ")))</f>
        <v xml:space="preserve"> </v>
      </c>
      <c r="AO18" s="26" t="str">
        <f>IF(AND(L18&gt;0,[20]EvaluaciónRiesgoCorrupR1!$F$11&gt;50,[20]EvaluaciónRiesgoCorrupR1!$F$11&lt;76,F18=4,H18=5),$H$27,IF(AND(L18&gt;0,[20]EvaluaciónRiesgoCorrupR1!$F$11&gt;50,[20]EvaluaciónRiesgoCorrupR1!$F$11&lt;76,F18=4,H18=10),$J$27,IF(AND(L18&gt;0,[20]EvaluaciónRiesgoCorrupR1!$F$11&gt;50,[20]EvaluaciónRiesgoCorrupR1!$F$11&lt;76,F18=4,H18=20),$K$27," ")))</f>
        <v xml:space="preserve"> </v>
      </c>
      <c r="AP18" s="26" t="str">
        <f>IF(AND(L18&gt;0,[20]EvaluaciónRiesgoCorrupR1!$F$11&gt;50,[20]EvaluaciónRiesgoCorrupR1!$F$11&lt;76,F18=5,H18=5),$H$28,IF(AND(L18&gt;0,[20]EvaluaciónRiesgoCorrupR1!$F$11&gt;50,[20]EvaluaciónRiesgoCorrupR1!$F$11&lt;76,F18=5,H18=10),$J$28,IF(AND(L18&gt;0,[20]EvaluaciónRiesgoCorrupR1!$F$11&gt;50,[20]EvaluaciónRiesgoCorrupR1!$F$11&lt;76,F18=5,H18=20),$K$28," ")))</f>
        <v xml:space="preserve"> </v>
      </c>
      <c r="AS18" s="26" t="str">
        <f>IF(AND(L18&gt;0,[20]EvaluaciónRiesgoCorrupR1!$F$11&lt;51,F18=1,H18=5),$H$25,IF(AND(L18&gt;0,[20]EvaluaciónRiesgoCorrupR1!$F$11&lt;51,F18=1,H18=10),$J$25,IF(AND(L18&gt;0,[20]EvaluaciónRiesgoCorrupR1!$F$11&lt;51,F18=1,H18=20),K$25," ")))</f>
        <v xml:space="preserve"> </v>
      </c>
      <c r="AT18" s="26" t="str">
        <f>IF(AND(L18&gt;0,[20]EvaluaciónRiesgoCorrupR1!$F$11&lt;51,F18=2,H18=5),$H$26,IF(AND(L18&gt;0,[20]EvaluaciónRiesgoCorrupR1!$F$11&lt;51,F18=2,H18=10),$J$26,IF(AND(L18&gt;0,[20]EvaluaciónRiesgoCorrupR1!$F$11&lt;51,F18=2,H18=20),K$26," ")))</f>
        <v xml:space="preserve"> </v>
      </c>
      <c r="AU18" s="26" t="str">
        <f>IF(AND(L18&gt;0,[20]EvaluaciónRiesgoCorrupR1!$F$11&lt;51,F18=3,H18=5),$H$27,IF(AND(L18&gt;0,[20]EvaluaciónRiesgoCorrupR1!$F$11&lt;51,F18=3,H18=10),$J$27,IF(AND(L18&gt;0,[20]EvaluaciónRiesgoCorrupR1!$F$11&lt;51,F18=3,H18=20),K$27," ")))</f>
        <v xml:space="preserve"> </v>
      </c>
      <c r="AV18" s="26" t="str">
        <f>IF(AND(L18&gt;0,[20]EvaluaciónRiesgoCorrupR1!$F$11&lt;51,F18=4,H18=5),$H$28,IF(AND(L18&gt;0,[20]EvaluaciónRiesgoCorrupR1!$F$11&lt;51,F18=4,H18=10),$J$28,IF(AND(L18&gt;0,[20]EvaluaciónRiesgoCorrupR1!$F$11&lt;51,F18=4,H18=20),K$28," ")))</f>
        <v xml:space="preserve"> </v>
      </c>
      <c r="AW18" s="26" t="str">
        <f>IF(AND(L18&gt;0,[20]EvaluaciónRiesgoCorrupR1!$F$11&lt;51,F18=5,H18=5),$H$29,IF(AND(L18&gt;0,[20]EvaluaciónRiesgoCorrupR1!$F$11&lt;51,F18=5,H18=10),$J$29,IF(AND(L18&gt;0,[20]EvaluaciónRiesgoCorrupR1!$F$11&lt;51,F18=5,H18=20),K$29," ")))</f>
        <v xml:space="preserve"> </v>
      </c>
      <c r="BA18" s="26" t="str">
        <f>IF(AND(M18&gt;0,[20]EvaluaciónRiesgoCorrupR1!$F$11&gt;75,F18=1,H18=5),$H$25,IF(AND(M18&gt;0,[20]EvaluaciónRiesgoCorrupR1!$F$11&gt;75,F18=1,H18=10),$H$25,IF(AND(M18&gt;0,[20]EvaluaciónRiesgoCorrupR1!$F$11&gt;75,F18=1,H18=20),$H$25," ")))</f>
        <v xml:space="preserve"> </v>
      </c>
      <c r="BB18" s="26" t="str">
        <f>IF(AND(M18&gt;0,[20]EvaluaciónRiesgoCorrupR1!$F$11&gt;75,F18=2,H18=5),$H$26,IF(AND(M18&gt;0,[20]EvaluaciónRiesgoCorrupR1!$F$11&gt;75,F18=2,H18=10),$H$26,IF(AND(M18&gt;0,[20]EvaluaciónRiesgoCorrupR1!$F$11&gt;75,F18=2,H18=20),$H$26," ")))</f>
        <v xml:space="preserve"> </v>
      </c>
      <c r="BC18" s="26" t="str">
        <f>IF(AND(M18&gt;0,[20]EvaluaciónRiesgoCorrupR1!$F$11&gt;75,F18=3,H18=5),$H$27,IF(AND(M18&gt;0,[20]EvaluaciónRiesgoCorrupR1!$F$11&gt;75,F18=3,H18=10),$H$27,IF(AND(M18&gt;0,[20]EvaluaciónRiesgoCorrupR1!$F$11&gt;75,F18=3,H18=20),$H$27," ")))</f>
        <v xml:space="preserve"> </v>
      </c>
      <c r="BD18" s="26" t="str">
        <f>IF(AND(M18&gt;0,[20]EvaluaciónRiesgoCorrupR1!$F$11&gt;75,F18=4,H18=5),$H$28,IF(AND(M18&gt;0,[20]EvaluaciónRiesgoCorrupR1!$F$11&gt;75,F18=4,H18=10),$H$28,IF(AND(M18&gt;0,[20]EvaluaciónRiesgoCorrupR1!$F$11&gt;75,F18=4,H18=20),$H$28," ")))</f>
        <v xml:space="preserve"> </v>
      </c>
      <c r="BE18" s="26" t="str">
        <f>IF(AND(M18&gt;0,[20]EvaluaciónRiesgoCorrupR1!$F$11&gt;75,F18=5,H18=5),$H$29,IF(AND(M18&gt;0,[20]EvaluaciónRiesgoCorrupR1!$F$11&gt;75,F18=5,H18=10),$H$29,IF(AND(M18&gt;0,[20]EvaluaciónRiesgoCorrupR1!$F$11&gt;75,F18=5,H18=20),$H$29," ")))</f>
        <v xml:space="preserve"> </v>
      </c>
      <c r="BH18" s="26" t="str">
        <f>IF(AND(M18&gt;0,[20]EvaluaciónRiesgoCorrupR1!$F$11&gt;50,[20]EvaluaciónRiesgoCorrupR1!$F$11&lt;76,F18=1,H18=5),$H$25,IF(AND(M18&gt;0,[20]EvaluaciónRiesgoCorrupR1!$F$11&gt;50,[20]EvaluaciónRiesgoCorrupR1!$F$11&lt;76,F18=1,H18=10),$H$25,IF(AND(M18&gt;0,[20]EvaluaciónRiesgoCorrupR1!$F$11&gt;50,[20]EvaluaciónRiesgoCorrupR1!$F$11&lt;76,F18=1,H18=20),$J$25," ")))</f>
        <v xml:space="preserve"> </v>
      </c>
      <c r="BI18" s="26" t="str">
        <f>IF(AND(M18&gt;0,[20]EvaluaciónRiesgoCorrupR1!$F$11&gt;50,[20]EvaluaciónRiesgoCorrupR1!$F$11&lt;76,F18=2,H18=5),$H$26,IF(AND(M18&gt;0,[20]EvaluaciónRiesgoCorrupR1!$F$11&gt;50,[20]EvaluaciónRiesgoCorrupR1!$F$11&lt;76,F18=2,H18=10),$H$26,IF(AND(M18&gt;0,[20]EvaluaciónRiesgoCorrupR1!$F$11&gt;50,[20]EvaluaciónRiesgoCorrupR1!$F$11&lt;76,F18=2,H18=20),$J$26," ")))</f>
        <v xml:space="preserve"> </v>
      </c>
      <c r="BJ18" s="26" t="str">
        <f>IF(AND(M18&gt;0,[20]EvaluaciónRiesgoCorrupR1!$F$11&gt;50,[20]EvaluaciónRiesgoCorrupR1!$F$11&lt;76,F18=3,H18=5),$H$27,IF(AND(M18&gt;0,[20]EvaluaciónRiesgoCorrupR1!$F$11&gt;50,[20]EvaluaciónRiesgoCorrupR1!$F$11&lt;76,F18=3,H18=10),$H$27,IF(AND(M18&gt;0,[20]EvaluaciónRiesgoCorrupR1!$F$11&gt;50,[20]EvaluaciónRiesgoCorrupR1!$F$11&lt;76,F18=3,H18=20),$J$27," ")))</f>
        <v xml:space="preserve"> </v>
      </c>
      <c r="BK18" s="26" t="str">
        <f>IF(AND(M18&gt;0,[20]EvaluaciónRiesgoCorrupR1!$F$11&gt;50,[20]EvaluaciónRiesgoCorrupR1!$F$11&lt;76,F18=4,H18=5),$H$28,IF(AND(M18&gt;0,[20]EvaluaciónRiesgoCorrupR1!$F$11&gt;50,[20]EvaluaciónRiesgoCorrupR1!$F$11&lt;76,F18=4,H18=10),$H$28,IF(AND(M18&gt;0,[20]EvaluaciónRiesgoCorrupR1!$F$11&gt;50,[20]EvaluaciónRiesgoCorrupR1!$F$11&lt;76,F18=4,H18=20),$J$28," ")))</f>
        <v xml:space="preserve"> </v>
      </c>
      <c r="BL18" s="26" t="str">
        <f>IF(AND(M18&gt;0,[20]EvaluaciónRiesgoCorrupR1!$F$11&gt;50,[20]EvaluaciónRiesgoCorrupR1!$F$11&lt;76,F18=5,H18=5),$H$29,IF(AND(M18&gt;0,[20]EvaluaciónRiesgoCorrupR1!$F$11&gt;50,[20]EvaluaciónRiesgoCorrupR1!$F$11&lt;76,F18=5,H18=10),$H$29,IF(AND(M18&gt;0,[20]EvaluaciónRiesgoCorrupR1!$F$11&gt;50,[20]EvaluaciónRiesgoCorrupR1!$F$11&lt;76,F18=5,H18=20),$J$29," ")))</f>
        <v xml:space="preserve"> </v>
      </c>
      <c r="BO18" s="26" t="str">
        <f>IF(AND(M18&gt;0,[20]EvaluaciónRiesgoCorrupR1!$F$11&lt;51,F18=1,H18=5),$H$25,IF(AND(M18&gt;0,[20]EvaluaciónRiesgoCorrupR1!$F$11&lt;51,F18=1,H18=10),$J$25,IF(AND(M18&gt;0,[20]EvaluaciónRiesgoCorrupR1!$F$11&lt;51,F18=1,H18=20),$K$25," ")))</f>
        <v xml:space="preserve"> </v>
      </c>
      <c r="BP18" s="26" t="str">
        <f>IF(AND(M18&gt;0,[20]EvaluaciónRiesgoCorrupR1!$F$11&lt;51,F18=2,H18=5),$H$26,IF(AND(M18&gt;0,[20]EvaluaciónRiesgoCorrupR1!$F$11&lt;51,F18=2,H18=10),$J$26,IF(AND(M18&gt;0,[20]EvaluaciónRiesgoCorrupR1!$F$11&lt;51,F18=2,H18=20),$K$26," ")))</f>
        <v xml:space="preserve"> </v>
      </c>
      <c r="BQ18" s="26" t="str">
        <f>IF(AND(M18&gt;0,[20]EvaluaciónRiesgoCorrupR1!$F$11&lt;51,F18=3,H18=5),$H$27,IF(AND(M18&gt;0,[20]EvaluaciónRiesgoCorrupR1!$F$11&lt;51,F18=3,H18=10),$J$27,IF(AND(M18&gt;0,[20]EvaluaciónRiesgoCorrupR1!$F$11&lt;51,F18=3,H18=20),$K$27," ")))</f>
        <v xml:space="preserve"> </v>
      </c>
      <c r="BR18" s="26" t="str">
        <f>IF(AND(M18&gt;0,[20]EvaluaciónRiesgoCorrupR1!$F$11&lt;51,F18=4,H18=5),$H$28,IF(AND(M18&gt;0,[20]EvaluaciónRiesgoCorrupR1!$F$11&lt;51,F18=4,H18=10),$J$28,IF(AND(M18&gt;0,[20]EvaluaciónRiesgoCorrupR1!$F$11&lt;51,F18=4,H18=20),$K$28," ")))</f>
        <v xml:space="preserve"> </v>
      </c>
      <c r="BS18" s="26" t="str">
        <f>IF(AND(M18&gt;0,[20]EvaluaciónRiesgoCorrupR1!$F$11&lt;51,F18=5,H18=5),$H$29,IF(AND(M18&gt;0,[20]EvaluaciónRiesgoCorrupR1!$F$11&lt;51,F18=5,H18=10),$J$29,IF(AND(M18&gt;0,[20]EvaluaciónRiesgoCorrupR1!$F$11&lt;51,F18=5,H18=20),$K$29," ")))</f>
        <v xml:space="preserve"> </v>
      </c>
    </row>
    <row r="19" spans="1:71" ht="409.5" customHeight="1" x14ac:dyDescent="0.25">
      <c r="A19" s="255" t="str">
        <f>IF(ISTEXT([22]IdentificaciónRiesgos!$B8),[22]IdentificaciónRiesgos!$A8,"")</f>
        <v xml:space="preserve">Falta de ética y profesionalismo del funcionario instructor ó de la Primera Instancia Disciplinaria según el caso.   </v>
      </c>
      <c r="B19" s="255" t="str">
        <f>IF(ISTEXT([22]IdentificaciónRiesgos!$B8),[22]IdentificaciónRiesgos!$B8,"")</f>
        <v>No declararse impedido cuando exista el deber jurídico de hacerlo, con el ánimo de favorecer  a los sujetos procesales.</v>
      </c>
      <c r="C19" s="255" t="str">
        <f>IF(ISTEXT([22]IdentificaciónRiesgos!$B8),[22]IdentificaciónRiesgos!$C8,"")</f>
        <v>En caso de darse algunas de las causales contenidas en el Art. 84 del CDU, el servidor público que este adelantando la actuación disciplinaria ó que le competa fallar la misma, deberá declararse impedido</v>
      </c>
      <c r="D19" s="255" t="str">
        <f>IF(ISTEXT([22]IdentificaciónRiesgos!$B8),[22]IdentificaciónRiesgos!$D8,"")</f>
        <v xml:space="preserve">Incursión en Falta Disciplinaria Gravísima, al tenor de lo previsto en el Art. 48 No. 17 del CDU. </v>
      </c>
      <c r="E19" s="249" t="str">
        <f>IF(ISTEXT([22]IdentificaciónRiesgos!$B8),VLOOKUP($C19,[22]DefiniciónRiesgos!$A$4:$F$9,6,FALSE),"")</f>
        <v>RIESGO DE CORRUPCIÓN</v>
      </c>
      <c r="F19" s="250">
        <f>IF(ISTEXT([22]IdentificaciónRiesgos!$B8),IF(EXACT([22]AnálisisRiesgos!$B11,"X"),5,IF(EXACT([22]AnálisisRiesgos!$C11,"X"),4,IF(EXACT([22]AnálisisRiesgos!$D11,"X"),3,IF(EXACT([22]AnálisisRiesgos!$E11,"X"),2,IF(EXACT([22]AnálisisRiesgos!$F11,"X"),1,""))))),"")</f>
        <v>1</v>
      </c>
      <c r="G19" s="250" t="str">
        <f>IF(EXACT($F19,5),"Casí Seguro",IF(EXACT($F19,4),"Probable",IF(EXACT($F19,3),"Posible",IF(EXACT($F19,2),"Improbable","Rara Vez"))))</f>
        <v>Rara Vez</v>
      </c>
      <c r="H19" s="251">
        <f>IF(EXACT($B19,""),"",IF(EXACT($E19,"RIESGO DE GESTIÓN"),IF(EXACT([22]AnálisisRiesgos!$G11,"X"),5,IF(EXACT([22]AnálisisRiesgos!$H11,"X"),4,IF(EXACT([22]AnálisisRiesgos!$I11,"X"),3,IF(EXACT([22]AnálisisRiesgos!$J11,"X"),2,1)))),IF(EXACT([22]AnálisisRiesgos!$L11,"X"),20,IF(EXACT([22]AnálisisRiesgos!$M11,"X"),10,5))))</f>
        <v>10</v>
      </c>
      <c r="I19" s="251" t="str">
        <f>IF(EXACT($E19,"RIESGO DE GESTIÓN"),IF(EXACT($H19,1),"Insignificante",IF(EXACT($H19,2),"Menor",IF(EXACT($H19,3),"Moderado",IF(EXACT($H19,4),"Mayor","Catastrófico")))),IF(EXACT($H19,5),"Moderado",IF(EXACT($H19,10),"Mayor","Catastrófico")))</f>
        <v>Mayor</v>
      </c>
      <c r="J19" s="252" t="s">
        <v>191</v>
      </c>
      <c r="K19" s="236" t="s">
        <v>162</v>
      </c>
      <c r="L19" s="588" t="s">
        <v>9</v>
      </c>
      <c r="M19" s="589"/>
      <c r="N19" s="252" t="s">
        <v>192</v>
      </c>
      <c r="O19" s="253" t="s">
        <v>89</v>
      </c>
      <c r="P19" s="523" t="s">
        <v>285</v>
      </c>
      <c r="Q19" s="529" t="s">
        <v>290</v>
      </c>
      <c r="R19" s="523" t="s">
        <v>291</v>
      </c>
      <c r="S19" s="484" t="s">
        <v>288</v>
      </c>
      <c r="T19" s="529" t="s">
        <v>292</v>
      </c>
      <c r="U19" s="347" t="s">
        <v>234</v>
      </c>
      <c r="V19" s="456" t="s">
        <v>122</v>
      </c>
      <c r="W19" s="456" t="s">
        <v>294</v>
      </c>
      <c r="Y19" s="26" t="str">
        <f>IF(AND(F19=1,H19=5),$H$25,IF(AND(F19=1,H19=10),$J$25,IF(AND(F19=1,H19=20),$K$25," ")))</f>
        <v>B</v>
      </c>
      <c r="Z19" s="26" t="str">
        <f>IF(AND(F19=2,H19=5),$H$26,IF(AND(F19=2,H19=10),$J$26,IF(AND(F19=2,H19=20),$K$26," ")))</f>
        <v xml:space="preserve"> </v>
      </c>
      <c r="AA19" s="26" t="str">
        <f>IF(AND(F19=3,H19=5),$H$27,IF(AND(F19=3,H19=10),$J$27,IF(AND(F19=3,H19=20),$K$27," ")))</f>
        <v xml:space="preserve"> </v>
      </c>
      <c r="AB19" s="26" t="str">
        <f>IF(AND(F19=4,H19=5),$H$28,IF(AND(F19=4,H19=10),$J$28,IF(AND(F19=4,H19=20),$K$28," ")))</f>
        <v xml:space="preserve"> </v>
      </c>
      <c r="AC19" s="26" t="str">
        <f>IF(AND(F19=5,H19=5),$H$29,IF(AND(F19=5,H19=10),$J$29,IF(AND(F19=5,H19=20),$K$29," ")))</f>
        <v xml:space="preserve"> </v>
      </c>
      <c r="AF19" s="26" t="str">
        <f>IF(AND(L19&gt;0,[20]EvaluaciónRiesgoCorrupR1!$F$11&gt;75,F19=1,H19=5),$H$25,IF(AND(L19&gt;0,[20]EvaluaciónRiesgoCorrupR1!$F$11&gt;75,F19=1,H19=10),$J$25,IF(AND(L19&gt;0,[20]EvaluaciónRiesgoCorrupR1!$F$11&gt;75,F19=1,H19=20),$K$25," ")))</f>
        <v>B</v>
      </c>
      <c r="AG19" s="26" t="str">
        <f>IF(AND(L19&gt;0,[20]EvaluaciónRiesgoCorrupR1!$F$11&gt;75,F19=2,H19=5),$H$25,IF(AND(L19&gt;0,[20]EvaluaciónRiesgoCorrupR1!$F$11&gt;75,F19=2,H19=10),$J$25,IF(AND(L19&gt;0,[20]EvaluaciónRiesgoCorrupR1!$F$11&gt;75,F19=2,H19=20),$K$25," ")))</f>
        <v xml:space="preserve"> </v>
      </c>
      <c r="AH19" s="26" t="str">
        <f>IF(AND(L19&gt;0,[20]EvaluaciónRiesgoCorrupR1!$F$11&gt;75,F19=3,H19=5),$H$25,IF(AND(L19&gt;0,[20]EvaluaciónRiesgoCorrupR1!$F$11&gt;75,F19=3,H19=10),$J$25,IF(AND(L19&gt;0,[20]EvaluaciónRiesgoCorrupR1!$F$11&gt;75,F19=3,H19=20),$K$25," ")))</f>
        <v xml:space="preserve"> </v>
      </c>
      <c r="AI19" s="26" t="str">
        <f>IF(AND(L19&gt;0,[20]EvaluaciónRiesgoCorrupR1!$F$11&gt;75,F19=4,H19=5),$H$26,IF(AND(L19&gt;0,[20]EvaluaciónRiesgoCorrupR1!$F$11&gt;75,F19=4,H19=10),$J$26,IF(AND(L19&gt;0,[20]EvaluaciónRiesgoCorrupR1!$F$11&gt;75,F19=4,H19=20),$K$26," ")))</f>
        <v xml:space="preserve"> </v>
      </c>
      <c r="AJ19" s="26" t="str">
        <f>IF(AND(L19&gt;0,[20]EvaluaciónRiesgoCorrupR1!$F$11&gt;75,F19=5,H19=5),$H$27,IF(AND(L19&gt;0,[20]EvaluaciónRiesgoCorrupR1!$F$11&gt;75,F19=5,H19=10),$J$27,IF(AND(L19&gt;0,[20]EvaluaciónRiesgoCorrupR1!$F$11&gt;75,F19=5,H19=20),$K$27," ")))</f>
        <v xml:space="preserve"> </v>
      </c>
      <c r="AL19" s="26" t="str">
        <f>IF(AND(L19&gt;0,[20]EvaluaciónRiesgoCorrupR1!$F$11&gt;50,[20]EvaluaciónRiesgoCorrupR1!$F$11&lt;76,F19=1,H19=5),$H$25,IF(AND(L19&gt;0,[20]EvaluaciónRiesgoCorrupR1!$F$11&gt;50,[20]EvaluaciónRiesgoCorrupR1!$F$11&lt;76,F19=1,H19=10),$J$25,IF(AND(L19&gt;0,[20]EvaluaciónRiesgoCorrupR1!$F$11&gt;50,[20]EvaluaciónRiesgoCorrupR1!$F$11&lt;76,F19=1,H19=20),$K$25," ")))</f>
        <v xml:space="preserve"> </v>
      </c>
      <c r="AM19" s="26" t="str">
        <f>IF(AND(L19&gt;0,[20]EvaluaciónRiesgoCorrupR1!$F$11&gt;50,[20]EvaluaciónRiesgoCorrupR1!$F$11&lt;76,F19=2,H19=5),$H$25,IF(AND(L19&gt;0,[20]EvaluaciónRiesgoCorrupR1!$F$11&gt;50,[20]EvaluaciónRiesgoCorrupR1!$F$11&lt;76,F19=2,H19=10),$J$25,IF(AND(L19&gt;0,[20]EvaluaciónRiesgoCorrupR1!$F$11&gt;50,[20]EvaluaciónRiesgoCorrupR1!$F$11&lt;76,F19=2,H19=20),$K$25," ")))</f>
        <v xml:space="preserve"> </v>
      </c>
      <c r="AN19" s="26" t="str">
        <f>IF(AND(L19&gt;0,[20]EvaluaciónRiesgoCorrupR1!$F$11&gt;50,[20]EvaluaciónRiesgoCorrupR1!$F$11&lt;76,F19=3,H19=5),$H$26,IF(AND(L19&gt;0,[20]EvaluaciónRiesgoCorrupR1!$F$11&gt;50,[20]EvaluaciónRiesgoCorrupR1!$F$11&lt;76,F19=3,H19=10),$J$26,IF(AND(L19&gt;0,[20]EvaluaciónRiesgoCorrupR1!$F$11&gt;50,[20]EvaluaciónRiesgoCorrupR1!$F$11&lt;76,F19=3,H19=20),$K$26," ")))</f>
        <v xml:space="preserve"> </v>
      </c>
      <c r="AO19" s="26" t="str">
        <f>IF(AND(L19&gt;0,[20]EvaluaciónRiesgoCorrupR1!$F$11&gt;50,[20]EvaluaciónRiesgoCorrupR1!$F$11&lt;76,F19=4,H19=5),$H$27,IF(AND(L19&gt;0,[20]EvaluaciónRiesgoCorrupR1!$F$11&gt;50,[20]EvaluaciónRiesgoCorrupR1!$F$11&lt;76,F19=4,H19=10),$J$27,IF(AND(L19&gt;0,[20]EvaluaciónRiesgoCorrupR1!$F$11&gt;50,[20]EvaluaciónRiesgoCorrupR1!$F$11&lt;76,F19=4,H19=20),$K$27," ")))</f>
        <v xml:space="preserve"> </v>
      </c>
      <c r="AP19" s="26" t="str">
        <f>IF(AND(L19&gt;0,[20]EvaluaciónRiesgoCorrupR1!$F$11&gt;50,[20]EvaluaciónRiesgoCorrupR1!$F$11&lt;76,F19=5,H19=5),$H$28,IF(AND(L19&gt;0,[20]EvaluaciónRiesgoCorrupR1!$F$11&gt;50,[20]EvaluaciónRiesgoCorrupR1!$F$11&lt;76,F19=5,H19=10),$J$28,IF(AND(L19&gt;0,[20]EvaluaciónRiesgoCorrupR1!$F$11&gt;50,[20]EvaluaciónRiesgoCorrupR1!$F$11&lt;76,F19=5,H19=20),$K$28," ")))</f>
        <v xml:space="preserve"> </v>
      </c>
      <c r="AS19" s="26" t="str">
        <f>IF(AND(L19&gt;0,[20]EvaluaciónRiesgoCorrupR1!$F$11&lt;51,F19=1,H19=5),$H$25,IF(AND(L19&gt;0,[20]EvaluaciónRiesgoCorrupR1!$F$11&lt;51,F19=1,H19=10),$J$25,IF(AND(L19&gt;0,[20]EvaluaciónRiesgoCorrupR1!$F$11&lt;51,F19=1,H19=20),K$25," ")))</f>
        <v xml:space="preserve"> </v>
      </c>
      <c r="AT19" s="26" t="str">
        <f>IF(AND(L19&gt;0,[20]EvaluaciónRiesgoCorrupR1!$F$11&lt;51,F19=2,H19=5),$H$26,IF(AND(L19&gt;0,[20]EvaluaciónRiesgoCorrupR1!$F$11&lt;51,F19=2,H19=10),$J$26,IF(AND(L19&gt;0,[20]EvaluaciónRiesgoCorrupR1!$F$11&lt;51,F19=2,H19=20),K$26," ")))</f>
        <v xml:space="preserve"> </v>
      </c>
      <c r="AU19" s="26" t="str">
        <f>IF(AND(L19&gt;0,[20]EvaluaciónRiesgoCorrupR1!$F$11&lt;51,F19=3,H19=5),$H$27,IF(AND(L19&gt;0,[20]EvaluaciónRiesgoCorrupR1!$F$11&lt;51,F19=3,H19=10),$J$27,IF(AND(L19&gt;0,[20]EvaluaciónRiesgoCorrupR1!$F$11&lt;51,F19=3,H19=20),K$27," ")))</f>
        <v xml:space="preserve"> </v>
      </c>
      <c r="AV19" s="26" t="str">
        <f>IF(AND(L19&gt;0,[20]EvaluaciónRiesgoCorrupR1!$F$11&lt;51,F19=4,H19=5),$H$28,IF(AND(L19&gt;0,[20]EvaluaciónRiesgoCorrupR1!$F$11&lt;51,F19=4,H19=10),$J$28,IF(AND(L19&gt;0,[20]EvaluaciónRiesgoCorrupR1!$F$11&lt;51,F19=4,H19=20),K$28," ")))</f>
        <v xml:space="preserve"> </v>
      </c>
      <c r="AW19" s="26" t="str">
        <f>IF(AND(L19&gt;0,[20]EvaluaciónRiesgoCorrupR1!$F$11&lt;51,F19=5,H19=5),$H$29,IF(AND(L19&gt;0,[20]EvaluaciónRiesgoCorrupR1!$F$11&lt;51,F19=5,H19=10),$J$29,IF(AND(L19&gt;0,[20]EvaluaciónRiesgoCorrupR1!$F$11&lt;51,F19=5,H19=20),K$29," ")))</f>
        <v xml:space="preserve"> </v>
      </c>
      <c r="BA19" s="26" t="str">
        <f>IF(AND(M19&gt;0,[20]EvaluaciónRiesgoCorrupR1!$F$11&gt;75,F19=1,H19=5),$H$25,IF(AND(M19&gt;0,[20]EvaluaciónRiesgoCorrupR1!$F$11&gt;75,F19=1,H19=10),$H$25,IF(AND(M19&gt;0,[20]EvaluaciónRiesgoCorrupR1!$F$11&gt;75,F19=1,H19=20),$H$25," ")))</f>
        <v xml:space="preserve"> </v>
      </c>
      <c r="BB19" s="26" t="str">
        <f>IF(AND(M19&gt;0,[20]EvaluaciónRiesgoCorrupR1!$F$11&gt;75,F19=2,H19=5),$H$26,IF(AND(M19&gt;0,[20]EvaluaciónRiesgoCorrupR1!$F$11&gt;75,F19=2,H19=10),$H$26,IF(AND(M19&gt;0,[20]EvaluaciónRiesgoCorrupR1!$F$11&gt;75,F19=2,H19=20),$H$26," ")))</f>
        <v xml:space="preserve"> </v>
      </c>
      <c r="BC19" s="26" t="str">
        <f>IF(AND(M19&gt;0,[20]EvaluaciónRiesgoCorrupR1!$F$11&gt;75,F19=3,H19=5),$H$27,IF(AND(M19&gt;0,[20]EvaluaciónRiesgoCorrupR1!$F$11&gt;75,F19=3,H19=10),$H$27,IF(AND(M19&gt;0,[20]EvaluaciónRiesgoCorrupR1!$F$11&gt;75,F19=3,H19=20),$H$27," ")))</f>
        <v xml:space="preserve"> </v>
      </c>
      <c r="BD19" s="26" t="str">
        <f>IF(AND(M19&gt;0,[20]EvaluaciónRiesgoCorrupR1!$F$11&gt;75,F19=4,H19=5),$H$28,IF(AND(M19&gt;0,[20]EvaluaciónRiesgoCorrupR1!$F$11&gt;75,F19=4,H19=10),$H$28,IF(AND(M19&gt;0,[20]EvaluaciónRiesgoCorrupR1!$F$11&gt;75,F19=4,H19=20),$H$28," ")))</f>
        <v xml:space="preserve"> </v>
      </c>
      <c r="BE19" s="26" t="str">
        <f>IF(AND(M19&gt;0,[20]EvaluaciónRiesgoCorrupR1!$F$11&gt;75,F19=5,H19=5),$H$29,IF(AND(M19&gt;0,[20]EvaluaciónRiesgoCorrupR1!$F$11&gt;75,F19=5,H19=10),$H$29,IF(AND(M19&gt;0,[20]EvaluaciónRiesgoCorrupR1!$F$11&gt;75,F19=5,H19=20),$H$29," ")))</f>
        <v xml:space="preserve"> </v>
      </c>
      <c r="BH19" s="26" t="str">
        <f>IF(AND(M19&gt;0,[20]EvaluaciónRiesgoCorrupR1!$F$11&gt;50,[20]EvaluaciónRiesgoCorrupR1!$F$11&lt;76,F19=1,H19=5),$H$25,IF(AND(M19&gt;0,[20]EvaluaciónRiesgoCorrupR1!$F$11&gt;50,[20]EvaluaciónRiesgoCorrupR1!$F$11&lt;76,F19=1,H19=10),$H$25,IF(AND(M19&gt;0,[20]EvaluaciónRiesgoCorrupR1!$F$11&gt;50,[20]EvaluaciónRiesgoCorrupR1!$F$11&lt;76,F19=1,H19=20),$J$25," ")))</f>
        <v xml:space="preserve"> </v>
      </c>
      <c r="BI19" s="26" t="str">
        <f>IF(AND(M19&gt;0,[20]EvaluaciónRiesgoCorrupR1!$F$11&gt;50,[20]EvaluaciónRiesgoCorrupR1!$F$11&lt;76,F19=2,H19=5),$H$26,IF(AND(M19&gt;0,[20]EvaluaciónRiesgoCorrupR1!$F$11&gt;50,[20]EvaluaciónRiesgoCorrupR1!$F$11&lt;76,F19=2,H19=10),$H$26,IF(AND(M19&gt;0,[20]EvaluaciónRiesgoCorrupR1!$F$11&gt;50,[20]EvaluaciónRiesgoCorrupR1!$F$11&lt;76,F19=2,H19=20),$J$26," ")))</f>
        <v xml:space="preserve"> </v>
      </c>
      <c r="BJ19" s="26" t="str">
        <f>IF(AND(M19&gt;0,[20]EvaluaciónRiesgoCorrupR1!$F$11&gt;50,[20]EvaluaciónRiesgoCorrupR1!$F$11&lt;76,F19=3,H19=5),$H$27,IF(AND(M19&gt;0,[20]EvaluaciónRiesgoCorrupR1!$F$11&gt;50,[20]EvaluaciónRiesgoCorrupR1!$F$11&lt;76,F19=3,H19=10),$H$27,IF(AND(M19&gt;0,[20]EvaluaciónRiesgoCorrupR1!$F$11&gt;50,[20]EvaluaciónRiesgoCorrupR1!$F$11&lt;76,F19=3,H19=20),$J$27," ")))</f>
        <v xml:space="preserve"> </v>
      </c>
      <c r="BK19" s="26" t="str">
        <f>IF(AND(M19&gt;0,[20]EvaluaciónRiesgoCorrupR1!$F$11&gt;50,[20]EvaluaciónRiesgoCorrupR1!$F$11&lt;76,F19=4,H19=5),$H$28,IF(AND(M19&gt;0,[20]EvaluaciónRiesgoCorrupR1!$F$11&gt;50,[20]EvaluaciónRiesgoCorrupR1!$F$11&lt;76,F19=4,H19=10),$H$28,IF(AND(M19&gt;0,[20]EvaluaciónRiesgoCorrupR1!$F$11&gt;50,[20]EvaluaciónRiesgoCorrupR1!$F$11&lt;76,F19=4,H19=20),$J$28," ")))</f>
        <v xml:space="preserve"> </v>
      </c>
      <c r="BL19" s="26" t="str">
        <f>IF(AND(M19&gt;0,[20]EvaluaciónRiesgoCorrupR1!$F$11&gt;50,[20]EvaluaciónRiesgoCorrupR1!$F$11&lt;76,F19=5,H19=5),$H$29,IF(AND(M19&gt;0,[20]EvaluaciónRiesgoCorrupR1!$F$11&gt;50,[20]EvaluaciónRiesgoCorrupR1!$F$11&lt;76,F19=5,H19=10),$H$29,IF(AND(M19&gt;0,[20]EvaluaciónRiesgoCorrupR1!$F$11&gt;50,[20]EvaluaciónRiesgoCorrupR1!$F$11&lt;76,F19=5,H19=20),$J$29," ")))</f>
        <v xml:space="preserve"> </v>
      </c>
      <c r="BO19" s="26" t="str">
        <f>IF(AND(M19&gt;0,[20]EvaluaciónRiesgoCorrupR1!$F$11&lt;51,F19=1,H19=5),$H$25,IF(AND(M19&gt;0,[20]EvaluaciónRiesgoCorrupR1!$F$11&lt;51,F19=1,H19=10),$J$25,IF(AND(M19&gt;0,[20]EvaluaciónRiesgoCorrupR1!$F$11&lt;51,F19=1,H19=20),$K$25," ")))</f>
        <v xml:space="preserve"> </v>
      </c>
      <c r="BP19" s="26" t="str">
        <f>IF(AND(M19&gt;0,[20]EvaluaciónRiesgoCorrupR1!$F$11&lt;51,F19=2,H19=5),$H$26,IF(AND(M19&gt;0,[20]EvaluaciónRiesgoCorrupR1!$F$11&lt;51,F19=2,H19=10),$J$26,IF(AND(M19&gt;0,[20]EvaluaciónRiesgoCorrupR1!$F$11&lt;51,F19=2,H19=20),$K$26," ")))</f>
        <v xml:space="preserve"> </v>
      </c>
      <c r="BQ19" s="26" t="str">
        <f>IF(AND(M19&gt;0,[20]EvaluaciónRiesgoCorrupR1!$F$11&lt;51,F19=3,H19=5),$H$27,IF(AND(M19&gt;0,[20]EvaluaciónRiesgoCorrupR1!$F$11&lt;51,F19=3,H19=10),$J$27,IF(AND(M19&gt;0,[20]EvaluaciónRiesgoCorrupR1!$F$11&lt;51,F19=3,H19=20),$K$27," ")))</f>
        <v xml:space="preserve"> </v>
      </c>
      <c r="BR19" s="26" t="str">
        <f>IF(AND(M19&gt;0,[20]EvaluaciónRiesgoCorrupR1!$F$11&lt;51,F19=4,H19=5),$H$28,IF(AND(M19&gt;0,[20]EvaluaciónRiesgoCorrupR1!$F$11&lt;51,F19=4,H19=10),$J$28,IF(AND(M19&gt;0,[20]EvaluaciónRiesgoCorrupR1!$F$11&lt;51,F19=4,H19=20),$K$28," ")))</f>
        <v xml:space="preserve"> </v>
      </c>
      <c r="BS19" s="26" t="str">
        <f>IF(AND(M19&gt;0,[20]EvaluaciónRiesgoCorrupR1!$F$11&lt;51,F19=5,H19=5),$H$29,IF(AND(M19&gt;0,[20]EvaluaciónRiesgoCorrupR1!$F$11&lt;51,F19=5,H19=10),$J$29,IF(AND(M19&gt;0,[20]EvaluaciónRiesgoCorrupR1!$F$11&lt;51,F19=5,H19=20),$K$29," ")))</f>
        <v xml:space="preserve"> </v>
      </c>
    </row>
    <row r="20" spans="1:71" ht="27" customHeight="1" x14ac:dyDescent="0.25">
      <c r="A20" s="29"/>
      <c r="B20" s="22"/>
      <c r="C20" s="124"/>
      <c r="D20" s="22"/>
      <c r="E20" s="78"/>
    </row>
    <row r="21" spans="1:71" x14ac:dyDescent="0.25">
      <c r="A21" s="26"/>
      <c r="B21" s="28"/>
      <c r="C21" s="126"/>
      <c r="D21" s="28"/>
      <c r="E21" s="139"/>
    </row>
    <row r="22" spans="1:71" ht="15" thickBot="1" x14ac:dyDescent="0.3">
      <c r="A22" s="26"/>
      <c r="B22" s="28"/>
      <c r="C22" s="126"/>
      <c r="D22" s="28"/>
      <c r="E22" s="139"/>
      <c r="H22" s="30"/>
      <c r="I22" s="140"/>
      <c r="J22" s="30"/>
    </row>
    <row r="23" spans="1:71" ht="15.75" thickBot="1" x14ac:dyDescent="0.3">
      <c r="A23" s="6"/>
      <c r="B23" s="31"/>
      <c r="C23" s="139"/>
      <c r="D23" s="31"/>
      <c r="E23" s="139"/>
      <c r="F23" s="544" t="s">
        <v>25</v>
      </c>
      <c r="G23" s="77"/>
      <c r="H23" s="546" t="s">
        <v>9</v>
      </c>
      <c r="I23" s="546"/>
      <c r="J23" s="546"/>
      <c r="K23" s="547"/>
      <c r="L23" s="2"/>
      <c r="Q23" s="5"/>
      <c r="S23" s="2"/>
    </row>
    <row r="24" spans="1:71" ht="32.25" customHeight="1" thickBot="1" x14ac:dyDescent="0.3">
      <c r="A24" s="5"/>
      <c r="B24" s="32" t="s">
        <v>33</v>
      </c>
      <c r="C24" s="127"/>
      <c r="D24" s="32"/>
      <c r="E24" s="127"/>
      <c r="F24" s="545"/>
      <c r="G24" s="145"/>
      <c r="H24" s="33" t="s">
        <v>34</v>
      </c>
      <c r="I24" s="128"/>
      <c r="J24" s="34" t="s">
        <v>35</v>
      </c>
      <c r="K24" s="33" t="s">
        <v>36</v>
      </c>
      <c r="L24" s="2"/>
      <c r="Q24" s="5"/>
      <c r="S24" s="2"/>
    </row>
    <row r="25" spans="1:71" ht="15.75" thickBot="1" x14ac:dyDescent="0.3">
      <c r="B25" s="5" t="s">
        <v>37</v>
      </c>
      <c r="C25" s="118"/>
      <c r="F25" s="35" t="s">
        <v>38</v>
      </c>
      <c r="G25" s="129"/>
      <c r="H25" s="36" t="s">
        <v>39</v>
      </c>
      <c r="I25" s="130"/>
      <c r="J25" s="36" t="s">
        <v>39</v>
      </c>
      <c r="K25" s="37" t="s">
        <v>40</v>
      </c>
      <c r="L25" s="2"/>
      <c r="Q25" s="5"/>
      <c r="S25" s="2"/>
    </row>
    <row r="26" spans="1:71" ht="15.75" thickBot="1" x14ac:dyDescent="0.3">
      <c r="F26" s="35" t="s">
        <v>41</v>
      </c>
      <c r="G26" s="129"/>
      <c r="H26" s="36" t="s">
        <v>39</v>
      </c>
      <c r="I26" s="130"/>
      <c r="J26" s="37" t="s">
        <v>40</v>
      </c>
      <c r="K26" s="38" t="s">
        <v>42</v>
      </c>
      <c r="L26" s="2"/>
      <c r="Q26" s="5"/>
      <c r="S26" s="2"/>
    </row>
    <row r="27" spans="1:71" ht="15.75" thickBot="1" x14ac:dyDescent="0.3">
      <c r="F27" s="35" t="s">
        <v>43</v>
      </c>
      <c r="G27" s="129"/>
      <c r="H27" s="37" t="s">
        <v>40</v>
      </c>
      <c r="I27" s="131"/>
      <c r="J27" s="38" t="s">
        <v>42</v>
      </c>
      <c r="K27" s="39" t="s">
        <v>44</v>
      </c>
      <c r="L27" s="2"/>
      <c r="Q27" s="5"/>
      <c r="S27" s="2"/>
    </row>
    <row r="28" spans="1:71" ht="15.75" thickBot="1" x14ac:dyDescent="0.3">
      <c r="F28" s="35" t="s">
        <v>45</v>
      </c>
      <c r="G28" s="129"/>
      <c r="H28" s="37" t="s">
        <v>40</v>
      </c>
      <c r="I28" s="131"/>
      <c r="J28" s="38" t="s">
        <v>42</v>
      </c>
      <c r="K28" s="39" t="s">
        <v>44</v>
      </c>
      <c r="L28" s="2"/>
      <c r="Q28" s="5"/>
      <c r="S28" s="2"/>
    </row>
    <row r="29" spans="1:71" ht="15.75" thickBot="1" x14ac:dyDescent="0.3">
      <c r="F29" s="35" t="s">
        <v>46</v>
      </c>
      <c r="G29" s="129"/>
      <c r="H29" s="37" t="s">
        <v>40</v>
      </c>
      <c r="I29" s="131"/>
      <c r="J29" s="38" t="s">
        <v>42</v>
      </c>
      <c r="K29" s="39" t="s">
        <v>44</v>
      </c>
      <c r="L29" s="2"/>
      <c r="Q29" s="5"/>
      <c r="S29" s="2"/>
    </row>
    <row r="30" spans="1:71" x14ac:dyDescent="0.25">
      <c r="F30" s="2"/>
      <c r="G30" s="115"/>
      <c r="H30" s="2"/>
      <c r="I30" s="115"/>
      <c r="J30" s="2"/>
      <c r="K30" s="5"/>
      <c r="M30" s="5"/>
    </row>
    <row r="31" spans="1:71" ht="15" x14ac:dyDescent="0.25">
      <c r="F31" s="40" t="s">
        <v>47</v>
      </c>
      <c r="G31" s="132"/>
      <c r="H31" s="2"/>
      <c r="I31" s="115"/>
      <c r="J31" s="2"/>
      <c r="K31" s="5"/>
      <c r="M31" s="5"/>
      <c r="N31" s="5"/>
      <c r="O31" s="118"/>
      <c r="P31" s="5"/>
    </row>
    <row r="32" spans="1:71" ht="15" x14ac:dyDescent="0.25">
      <c r="F32" s="41" t="s">
        <v>48</v>
      </c>
      <c r="G32" s="133"/>
      <c r="H32" s="2"/>
      <c r="I32" s="115"/>
      <c r="J32" s="2"/>
      <c r="K32" s="5"/>
      <c r="M32" s="5"/>
      <c r="N32" s="5"/>
      <c r="O32" s="118"/>
      <c r="P32" s="5"/>
    </row>
    <row r="33" spans="6:16" ht="15" x14ac:dyDescent="0.25">
      <c r="F33" s="42" t="s">
        <v>49</v>
      </c>
      <c r="G33" s="134"/>
      <c r="H33" s="2"/>
      <c r="I33" s="115"/>
      <c r="J33" s="2"/>
      <c r="K33" s="5"/>
      <c r="M33" s="5"/>
      <c r="N33" s="5"/>
      <c r="O33" s="118"/>
      <c r="P33" s="5"/>
    </row>
    <row r="34" spans="6:16" ht="15" x14ac:dyDescent="0.25">
      <c r="F34" s="43" t="s">
        <v>50</v>
      </c>
      <c r="G34" s="135"/>
      <c r="H34" s="2"/>
      <c r="I34" s="115"/>
      <c r="J34" s="2"/>
      <c r="K34" s="5"/>
      <c r="M34" s="5"/>
      <c r="N34" s="5"/>
      <c r="O34" s="118"/>
      <c r="P34" s="5"/>
    </row>
  </sheetData>
  <mergeCells count="37">
    <mergeCell ref="T15:T16"/>
    <mergeCell ref="U15:U16"/>
    <mergeCell ref="V15:V16"/>
    <mergeCell ref="F23:F24"/>
    <mergeCell ref="H23:K23"/>
    <mergeCell ref="P15:R15"/>
    <mergeCell ref="L17:M17"/>
    <mergeCell ref="L18:M18"/>
    <mergeCell ref="L19:M19"/>
    <mergeCell ref="A12:D12"/>
    <mergeCell ref="AH13:AZ13"/>
    <mergeCell ref="BB13:BU13"/>
    <mergeCell ref="A14:D14"/>
    <mergeCell ref="F14:H14"/>
    <mergeCell ref="K14:K16"/>
    <mergeCell ref="L14:N14"/>
    <mergeCell ref="P14:R14"/>
    <mergeCell ref="S14:V14"/>
    <mergeCell ref="A15:A16"/>
    <mergeCell ref="B15:B16"/>
    <mergeCell ref="D15:D16"/>
    <mergeCell ref="F15:H15"/>
    <mergeCell ref="L15:N15"/>
    <mergeCell ref="S15:S16"/>
    <mergeCell ref="F12:X12"/>
    <mergeCell ref="A6:D6"/>
    <mergeCell ref="F6:V6"/>
    <mergeCell ref="A8:D8"/>
    <mergeCell ref="F8:V8"/>
    <mergeCell ref="A10:D10"/>
    <mergeCell ref="F10:V10"/>
    <mergeCell ref="A1:D4"/>
    <mergeCell ref="F1:T4"/>
    <mergeCell ref="U1:V1"/>
    <mergeCell ref="U2:V2"/>
    <mergeCell ref="U3:V3"/>
    <mergeCell ref="U4:V4"/>
  </mergeCells>
  <conditionalFormatting sqref="J17 N17:O17">
    <cfRule type="containsText" dxfId="19" priority="9" operator="containsText" text="E">
      <formula>NOT(ISERROR(SEARCH("E",J17)))</formula>
    </cfRule>
    <cfRule type="containsText" dxfId="18" priority="10" operator="containsText" text="M">
      <formula>NOT(ISERROR(SEARCH("M",J17)))</formula>
    </cfRule>
    <cfRule type="containsText" dxfId="17" priority="11" operator="containsText" text="A">
      <formula>NOT(ISERROR(SEARCH("A",J17)))</formula>
    </cfRule>
    <cfRule type="containsText" dxfId="16" priority="12" operator="containsText" text="B">
      <formula>NOT(ISERROR(SEARCH("B",J17)))</formula>
    </cfRule>
  </conditionalFormatting>
  <conditionalFormatting sqref="J18 N18:O18">
    <cfRule type="containsText" dxfId="15" priority="5" operator="containsText" text="E">
      <formula>NOT(ISERROR(SEARCH("E",J18)))</formula>
    </cfRule>
    <cfRule type="containsText" dxfId="14" priority="6" operator="containsText" text="M">
      <formula>NOT(ISERROR(SEARCH("M",J18)))</formula>
    </cfRule>
    <cfRule type="containsText" dxfId="13" priority="7" operator="containsText" text="A">
      <formula>NOT(ISERROR(SEARCH("A",J18)))</formula>
    </cfRule>
    <cfRule type="containsText" dxfId="12" priority="8" operator="containsText" text="B">
      <formula>NOT(ISERROR(SEARCH("B",J18)))</formula>
    </cfRule>
  </conditionalFormatting>
  <conditionalFormatting sqref="J19 N19">
    <cfRule type="containsText" dxfId="11" priority="1" operator="containsText" text="E">
      <formula>NOT(ISERROR(SEARCH("E",J19)))</formula>
    </cfRule>
    <cfRule type="containsText" dxfId="10" priority="2" operator="containsText" text="M">
      <formula>NOT(ISERROR(SEARCH("M",J19)))</formula>
    </cfRule>
    <cfRule type="containsText" dxfId="9" priority="3" operator="containsText" text="A">
      <formula>NOT(ISERROR(SEARCH("A",J19)))</formula>
    </cfRule>
    <cfRule type="containsText" dxfId="8" priority="4" operator="containsText" text="B">
      <formula>NOT(ISERROR(SEARCH("B",J19)))</formula>
    </cfRule>
  </conditionalFormatting>
  <dataValidations count="3">
    <dataValidation type="list" allowBlank="1" showInputMessage="1" showErrorMessage="1" sqref="L20:O20">
      <formula1>#REF!</formula1>
    </dataValidation>
    <dataValidation type="list" allowBlank="1" showInputMessage="1" showErrorMessage="1" sqref="P20:Q20">
      <formula1>$J$31:$J$34</formula1>
    </dataValidation>
    <dataValidation type="list" allowBlank="1" showInputMessage="1" showErrorMessage="1" promptTitle="AFECTA A:" prompt="Seleccione según a quien afecte el control" sqref="L18:M19">
      <formula1>#REF!</formula1>
    </dataValidation>
  </dataValidations>
  <pageMargins left="0.7" right="0.7" top="0.75" bottom="0.75" header="0.3" footer="0.3"/>
  <pageSetup scale="13"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38"/>
  <sheetViews>
    <sheetView showGridLines="0" view="pageBreakPreview" topLeftCell="O15" zoomScale="82" zoomScaleNormal="60" zoomScaleSheetLayoutView="82" workbookViewId="0">
      <selection activeCell="T15" sqref="T15:T16"/>
    </sheetView>
  </sheetViews>
  <sheetFormatPr baseColWidth="10" defaultRowHeight="14.25" x14ac:dyDescent="0.25"/>
  <cols>
    <col min="1" max="1" width="41.28515625" style="2" customWidth="1"/>
    <col min="2" max="2" width="40.42578125" style="2" customWidth="1"/>
    <col min="3" max="3" width="40.42578125" style="115" customWidth="1"/>
    <col min="4" max="4" width="40.42578125" style="2" customWidth="1"/>
    <col min="5" max="5" width="40.42578125" style="115" customWidth="1"/>
    <col min="6" max="6" width="27" style="5" customWidth="1"/>
    <col min="7" max="7" width="27" style="118" customWidth="1"/>
    <col min="8" max="8" width="19" style="5" customWidth="1"/>
    <col min="9" max="9" width="19" style="118" customWidth="1"/>
    <col min="10" max="10" width="26.7109375" style="5" customWidth="1"/>
    <col min="11" max="11" width="31.5703125" style="2" customWidth="1"/>
    <col min="12" max="12" width="17.7109375" style="5" customWidth="1"/>
    <col min="13" max="13" width="18.5703125" style="2" customWidth="1"/>
    <col min="14" max="14" width="21.7109375" style="2" customWidth="1"/>
    <col min="15" max="15" width="21.7109375" style="115" customWidth="1"/>
    <col min="16" max="16" width="19.85546875" style="2" customWidth="1"/>
    <col min="17" max="17" width="34.140625" style="2" customWidth="1"/>
    <col min="18" max="18" width="17" style="2" customWidth="1"/>
    <col min="19" max="19" width="36.42578125" style="5" customWidth="1"/>
    <col min="20" max="20" width="89" style="2" customWidth="1"/>
    <col min="21" max="21" width="30.42578125" style="2" customWidth="1"/>
    <col min="22" max="22" width="75.7109375" style="2" customWidth="1"/>
    <col min="23" max="23" width="30.42578125" style="2" customWidth="1"/>
    <col min="24" max="24" width="36" style="2" hidden="1" customWidth="1"/>
    <col min="25" max="73" width="11.42578125" style="2" hidden="1" customWidth="1"/>
    <col min="74" max="261" width="11.42578125" style="2"/>
    <col min="262" max="262" width="41.28515625" style="2" customWidth="1"/>
    <col min="263" max="264" width="40.42578125" style="2" customWidth="1"/>
    <col min="265" max="265" width="27" style="2" customWidth="1"/>
    <col min="266" max="266" width="19" style="2" customWidth="1"/>
    <col min="267" max="267" width="26.7109375" style="2" customWidth="1"/>
    <col min="268" max="268" width="31.5703125" style="2" customWidth="1"/>
    <col min="269" max="269" width="17.7109375" style="2" customWidth="1"/>
    <col min="270" max="270" width="18.5703125" style="2" customWidth="1"/>
    <col min="271" max="271" width="21.7109375" style="2" customWidth="1"/>
    <col min="272" max="272" width="19.85546875" style="2" customWidth="1"/>
    <col min="273" max="273" width="34.140625" style="2" customWidth="1"/>
    <col min="274" max="274" width="17" style="2" customWidth="1"/>
    <col min="275" max="275" width="36.42578125" style="2" customWidth="1"/>
    <col min="276" max="276" width="26.5703125" style="2" customWidth="1"/>
    <col min="277" max="279" width="30.42578125" style="2" customWidth="1"/>
    <col min="280" max="329" width="0" style="2" hidden="1" customWidth="1"/>
    <col min="330" max="517" width="11.42578125" style="2"/>
    <col min="518" max="518" width="41.28515625" style="2" customWidth="1"/>
    <col min="519" max="520" width="40.42578125" style="2" customWidth="1"/>
    <col min="521" max="521" width="27" style="2" customWidth="1"/>
    <col min="522" max="522" width="19" style="2" customWidth="1"/>
    <col min="523" max="523" width="26.7109375" style="2" customWidth="1"/>
    <col min="524" max="524" width="31.5703125" style="2" customWidth="1"/>
    <col min="525" max="525" width="17.7109375" style="2" customWidth="1"/>
    <col min="526" max="526" width="18.5703125" style="2" customWidth="1"/>
    <col min="527" max="527" width="21.7109375" style="2" customWidth="1"/>
    <col min="528" max="528" width="19.85546875" style="2" customWidth="1"/>
    <col min="529" max="529" width="34.140625" style="2" customWidth="1"/>
    <col min="530" max="530" width="17" style="2" customWidth="1"/>
    <col min="531" max="531" width="36.42578125" style="2" customWidth="1"/>
    <col min="532" max="532" width="26.5703125" style="2" customWidth="1"/>
    <col min="533" max="535" width="30.42578125" style="2" customWidth="1"/>
    <col min="536" max="585" width="0" style="2" hidden="1" customWidth="1"/>
    <col min="586" max="773" width="11.42578125" style="2"/>
    <col min="774" max="774" width="41.28515625" style="2" customWidth="1"/>
    <col min="775" max="776" width="40.42578125" style="2" customWidth="1"/>
    <col min="777" max="777" width="27" style="2" customWidth="1"/>
    <col min="778" max="778" width="19" style="2" customWidth="1"/>
    <col min="779" max="779" width="26.7109375" style="2" customWidth="1"/>
    <col min="780" max="780" width="31.5703125" style="2" customWidth="1"/>
    <col min="781" max="781" width="17.7109375" style="2" customWidth="1"/>
    <col min="782" max="782" width="18.5703125" style="2" customWidth="1"/>
    <col min="783" max="783" width="21.7109375" style="2" customWidth="1"/>
    <col min="784" max="784" width="19.85546875" style="2" customWidth="1"/>
    <col min="785" max="785" width="34.140625" style="2" customWidth="1"/>
    <col min="786" max="786" width="17" style="2" customWidth="1"/>
    <col min="787" max="787" width="36.42578125" style="2" customWidth="1"/>
    <col min="788" max="788" width="26.5703125" style="2" customWidth="1"/>
    <col min="789" max="791" width="30.42578125" style="2" customWidth="1"/>
    <col min="792" max="841" width="0" style="2" hidden="1" customWidth="1"/>
    <col min="842" max="1029" width="11.42578125" style="2"/>
    <col min="1030" max="1030" width="41.28515625" style="2" customWidth="1"/>
    <col min="1031" max="1032" width="40.42578125" style="2" customWidth="1"/>
    <col min="1033" max="1033" width="27" style="2" customWidth="1"/>
    <col min="1034" max="1034" width="19" style="2" customWidth="1"/>
    <col min="1035" max="1035" width="26.7109375" style="2" customWidth="1"/>
    <col min="1036" max="1036" width="31.5703125" style="2" customWidth="1"/>
    <col min="1037" max="1037" width="17.7109375" style="2" customWidth="1"/>
    <col min="1038" max="1038" width="18.5703125" style="2" customWidth="1"/>
    <col min="1039" max="1039" width="21.7109375" style="2" customWidth="1"/>
    <col min="1040" max="1040" width="19.85546875" style="2" customWidth="1"/>
    <col min="1041" max="1041" width="34.140625" style="2" customWidth="1"/>
    <col min="1042" max="1042" width="17" style="2" customWidth="1"/>
    <col min="1043" max="1043" width="36.42578125" style="2" customWidth="1"/>
    <col min="1044" max="1044" width="26.5703125" style="2" customWidth="1"/>
    <col min="1045" max="1047" width="30.42578125" style="2" customWidth="1"/>
    <col min="1048" max="1097" width="0" style="2" hidden="1" customWidth="1"/>
    <col min="1098" max="1285" width="11.42578125" style="2"/>
    <col min="1286" max="1286" width="41.28515625" style="2" customWidth="1"/>
    <col min="1287" max="1288" width="40.42578125" style="2" customWidth="1"/>
    <col min="1289" max="1289" width="27" style="2" customWidth="1"/>
    <col min="1290" max="1290" width="19" style="2" customWidth="1"/>
    <col min="1291" max="1291" width="26.7109375" style="2" customWidth="1"/>
    <col min="1292" max="1292" width="31.5703125" style="2" customWidth="1"/>
    <col min="1293" max="1293" width="17.7109375" style="2" customWidth="1"/>
    <col min="1294" max="1294" width="18.5703125" style="2" customWidth="1"/>
    <col min="1295" max="1295" width="21.7109375" style="2" customWidth="1"/>
    <col min="1296" max="1296" width="19.85546875" style="2" customWidth="1"/>
    <col min="1297" max="1297" width="34.140625" style="2" customWidth="1"/>
    <col min="1298" max="1298" width="17" style="2" customWidth="1"/>
    <col min="1299" max="1299" width="36.42578125" style="2" customWidth="1"/>
    <col min="1300" max="1300" width="26.5703125" style="2" customWidth="1"/>
    <col min="1301" max="1303" width="30.42578125" style="2" customWidth="1"/>
    <col min="1304" max="1353" width="0" style="2" hidden="1" customWidth="1"/>
    <col min="1354" max="1541" width="11.42578125" style="2"/>
    <col min="1542" max="1542" width="41.28515625" style="2" customWidth="1"/>
    <col min="1543" max="1544" width="40.42578125" style="2" customWidth="1"/>
    <col min="1545" max="1545" width="27" style="2" customWidth="1"/>
    <col min="1546" max="1546" width="19" style="2" customWidth="1"/>
    <col min="1547" max="1547" width="26.7109375" style="2" customWidth="1"/>
    <col min="1548" max="1548" width="31.5703125" style="2" customWidth="1"/>
    <col min="1549" max="1549" width="17.7109375" style="2" customWidth="1"/>
    <col min="1550" max="1550" width="18.5703125" style="2" customWidth="1"/>
    <col min="1551" max="1551" width="21.7109375" style="2" customWidth="1"/>
    <col min="1552" max="1552" width="19.85546875" style="2" customWidth="1"/>
    <col min="1553" max="1553" width="34.140625" style="2" customWidth="1"/>
    <col min="1554" max="1554" width="17" style="2" customWidth="1"/>
    <col min="1555" max="1555" width="36.42578125" style="2" customWidth="1"/>
    <col min="1556" max="1556" width="26.5703125" style="2" customWidth="1"/>
    <col min="1557" max="1559" width="30.42578125" style="2" customWidth="1"/>
    <col min="1560" max="1609" width="0" style="2" hidden="1" customWidth="1"/>
    <col min="1610" max="1797" width="11.42578125" style="2"/>
    <col min="1798" max="1798" width="41.28515625" style="2" customWidth="1"/>
    <col min="1799" max="1800" width="40.42578125" style="2" customWidth="1"/>
    <col min="1801" max="1801" width="27" style="2" customWidth="1"/>
    <col min="1802" max="1802" width="19" style="2" customWidth="1"/>
    <col min="1803" max="1803" width="26.7109375" style="2" customWidth="1"/>
    <col min="1804" max="1804" width="31.5703125" style="2" customWidth="1"/>
    <col min="1805" max="1805" width="17.7109375" style="2" customWidth="1"/>
    <col min="1806" max="1806" width="18.5703125" style="2" customWidth="1"/>
    <col min="1807" max="1807" width="21.7109375" style="2" customWidth="1"/>
    <col min="1808" max="1808" width="19.85546875" style="2" customWidth="1"/>
    <col min="1809" max="1809" width="34.140625" style="2" customWidth="1"/>
    <col min="1810" max="1810" width="17" style="2" customWidth="1"/>
    <col min="1811" max="1811" width="36.42578125" style="2" customWidth="1"/>
    <col min="1812" max="1812" width="26.5703125" style="2" customWidth="1"/>
    <col min="1813" max="1815" width="30.42578125" style="2" customWidth="1"/>
    <col min="1816" max="1865" width="0" style="2" hidden="1" customWidth="1"/>
    <col min="1866" max="2053" width="11.42578125" style="2"/>
    <col min="2054" max="2054" width="41.28515625" style="2" customWidth="1"/>
    <col min="2055" max="2056" width="40.42578125" style="2" customWidth="1"/>
    <col min="2057" max="2057" width="27" style="2" customWidth="1"/>
    <col min="2058" max="2058" width="19" style="2" customWidth="1"/>
    <col min="2059" max="2059" width="26.7109375" style="2" customWidth="1"/>
    <col min="2060" max="2060" width="31.5703125" style="2" customWidth="1"/>
    <col min="2061" max="2061" width="17.7109375" style="2" customWidth="1"/>
    <col min="2062" max="2062" width="18.5703125" style="2" customWidth="1"/>
    <col min="2063" max="2063" width="21.7109375" style="2" customWidth="1"/>
    <col min="2064" max="2064" width="19.85546875" style="2" customWidth="1"/>
    <col min="2065" max="2065" width="34.140625" style="2" customWidth="1"/>
    <col min="2066" max="2066" width="17" style="2" customWidth="1"/>
    <col min="2067" max="2067" width="36.42578125" style="2" customWidth="1"/>
    <col min="2068" max="2068" width="26.5703125" style="2" customWidth="1"/>
    <col min="2069" max="2071" width="30.42578125" style="2" customWidth="1"/>
    <col min="2072" max="2121" width="0" style="2" hidden="1" customWidth="1"/>
    <col min="2122" max="2309" width="11.42578125" style="2"/>
    <col min="2310" max="2310" width="41.28515625" style="2" customWidth="1"/>
    <col min="2311" max="2312" width="40.42578125" style="2" customWidth="1"/>
    <col min="2313" max="2313" width="27" style="2" customWidth="1"/>
    <col min="2314" max="2314" width="19" style="2" customWidth="1"/>
    <col min="2315" max="2315" width="26.7109375" style="2" customWidth="1"/>
    <col min="2316" max="2316" width="31.5703125" style="2" customWidth="1"/>
    <col min="2317" max="2317" width="17.7109375" style="2" customWidth="1"/>
    <col min="2318" max="2318" width="18.5703125" style="2" customWidth="1"/>
    <col min="2319" max="2319" width="21.7109375" style="2" customWidth="1"/>
    <col min="2320" max="2320" width="19.85546875" style="2" customWidth="1"/>
    <col min="2321" max="2321" width="34.140625" style="2" customWidth="1"/>
    <col min="2322" max="2322" width="17" style="2" customWidth="1"/>
    <col min="2323" max="2323" width="36.42578125" style="2" customWidth="1"/>
    <col min="2324" max="2324" width="26.5703125" style="2" customWidth="1"/>
    <col min="2325" max="2327" width="30.42578125" style="2" customWidth="1"/>
    <col min="2328" max="2377" width="0" style="2" hidden="1" customWidth="1"/>
    <col min="2378" max="2565" width="11.42578125" style="2"/>
    <col min="2566" max="2566" width="41.28515625" style="2" customWidth="1"/>
    <col min="2567" max="2568" width="40.42578125" style="2" customWidth="1"/>
    <col min="2569" max="2569" width="27" style="2" customWidth="1"/>
    <col min="2570" max="2570" width="19" style="2" customWidth="1"/>
    <col min="2571" max="2571" width="26.7109375" style="2" customWidth="1"/>
    <col min="2572" max="2572" width="31.5703125" style="2" customWidth="1"/>
    <col min="2573" max="2573" width="17.7109375" style="2" customWidth="1"/>
    <col min="2574" max="2574" width="18.5703125" style="2" customWidth="1"/>
    <col min="2575" max="2575" width="21.7109375" style="2" customWidth="1"/>
    <col min="2576" max="2576" width="19.85546875" style="2" customWidth="1"/>
    <col min="2577" max="2577" width="34.140625" style="2" customWidth="1"/>
    <col min="2578" max="2578" width="17" style="2" customWidth="1"/>
    <col min="2579" max="2579" width="36.42578125" style="2" customWidth="1"/>
    <col min="2580" max="2580" width="26.5703125" style="2" customWidth="1"/>
    <col min="2581" max="2583" width="30.42578125" style="2" customWidth="1"/>
    <col min="2584" max="2633" width="0" style="2" hidden="1" customWidth="1"/>
    <col min="2634" max="2821" width="11.42578125" style="2"/>
    <col min="2822" max="2822" width="41.28515625" style="2" customWidth="1"/>
    <col min="2823" max="2824" width="40.42578125" style="2" customWidth="1"/>
    <col min="2825" max="2825" width="27" style="2" customWidth="1"/>
    <col min="2826" max="2826" width="19" style="2" customWidth="1"/>
    <col min="2827" max="2827" width="26.7109375" style="2" customWidth="1"/>
    <col min="2828" max="2828" width="31.5703125" style="2" customWidth="1"/>
    <col min="2829" max="2829" width="17.7109375" style="2" customWidth="1"/>
    <col min="2830" max="2830" width="18.5703125" style="2" customWidth="1"/>
    <col min="2831" max="2831" width="21.7109375" style="2" customWidth="1"/>
    <col min="2832" max="2832" width="19.85546875" style="2" customWidth="1"/>
    <col min="2833" max="2833" width="34.140625" style="2" customWidth="1"/>
    <col min="2834" max="2834" width="17" style="2" customWidth="1"/>
    <col min="2835" max="2835" width="36.42578125" style="2" customWidth="1"/>
    <col min="2836" max="2836" width="26.5703125" style="2" customWidth="1"/>
    <col min="2837" max="2839" width="30.42578125" style="2" customWidth="1"/>
    <col min="2840" max="2889" width="0" style="2" hidden="1" customWidth="1"/>
    <col min="2890" max="3077" width="11.42578125" style="2"/>
    <col min="3078" max="3078" width="41.28515625" style="2" customWidth="1"/>
    <col min="3079" max="3080" width="40.42578125" style="2" customWidth="1"/>
    <col min="3081" max="3081" width="27" style="2" customWidth="1"/>
    <col min="3082" max="3082" width="19" style="2" customWidth="1"/>
    <col min="3083" max="3083" width="26.7109375" style="2" customWidth="1"/>
    <col min="3084" max="3084" width="31.5703125" style="2" customWidth="1"/>
    <col min="3085" max="3085" width="17.7109375" style="2" customWidth="1"/>
    <col min="3086" max="3086" width="18.5703125" style="2" customWidth="1"/>
    <col min="3087" max="3087" width="21.7109375" style="2" customWidth="1"/>
    <col min="3088" max="3088" width="19.85546875" style="2" customWidth="1"/>
    <col min="3089" max="3089" width="34.140625" style="2" customWidth="1"/>
    <col min="3090" max="3090" width="17" style="2" customWidth="1"/>
    <col min="3091" max="3091" width="36.42578125" style="2" customWidth="1"/>
    <col min="3092" max="3092" width="26.5703125" style="2" customWidth="1"/>
    <col min="3093" max="3095" width="30.42578125" style="2" customWidth="1"/>
    <col min="3096" max="3145" width="0" style="2" hidden="1" customWidth="1"/>
    <col min="3146" max="3333" width="11.42578125" style="2"/>
    <col min="3334" max="3334" width="41.28515625" style="2" customWidth="1"/>
    <col min="3335" max="3336" width="40.42578125" style="2" customWidth="1"/>
    <col min="3337" max="3337" width="27" style="2" customWidth="1"/>
    <col min="3338" max="3338" width="19" style="2" customWidth="1"/>
    <col min="3339" max="3339" width="26.7109375" style="2" customWidth="1"/>
    <col min="3340" max="3340" width="31.5703125" style="2" customWidth="1"/>
    <col min="3341" max="3341" width="17.7109375" style="2" customWidth="1"/>
    <col min="3342" max="3342" width="18.5703125" style="2" customWidth="1"/>
    <col min="3343" max="3343" width="21.7109375" style="2" customWidth="1"/>
    <col min="3344" max="3344" width="19.85546875" style="2" customWidth="1"/>
    <col min="3345" max="3345" width="34.140625" style="2" customWidth="1"/>
    <col min="3346" max="3346" width="17" style="2" customWidth="1"/>
    <col min="3347" max="3347" width="36.42578125" style="2" customWidth="1"/>
    <col min="3348" max="3348" width="26.5703125" style="2" customWidth="1"/>
    <col min="3349" max="3351" width="30.42578125" style="2" customWidth="1"/>
    <col min="3352" max="3401" width="0" style="2" hidden="1" customWidth="1"/>
    <col min="3402" max="3589" width="11.42578125" style="2"/>
    <col min="3590" max="3590" width="41.28515625" style="2" customWidth="1"/>
    <col min="3591" max="3592" width="40.42578125" style="2" customWidth="1"/>
    <col min="3593" max="3593" width="27" style="2" customWidth="1"/>
    <col min="3594" max="3594" width="19" style="2" customWidth="1"/>
    <col min="3595" max="3595" width="26.7109375" style="2" customWidth="1"/>
    <col min="3596" max="3596" width="31.5703125" style="2" customWidth="1"/>
    <col min="3597" max="3597" width="17.7109375" style="2" customWidth="1"/>
    <col min="3598" max="3598" width="18.5703125" style="2" customWidth="1"/>
    <col min="3599" max="3599" width="21.7109375" style="2" customWidth="1"/>
    <col min="3600" max="3600" width="19.85546875" style="2" customWidth="1"/>
    <col min="3601" max="3601" width="34.140625" style="2" customWidth="1"/>
    <col min="3602" max="3602" width="17" style="2" customWidth="1"/>
    <col min="3603" max="3603" width="36.42578125" style="2" customWidth="1"/>
    <col min="3604" max="3604" width="26.5703125" style="2" customWidth="1"/>
    <col min="3605" max="3607" width="30.42578125" style="2" customWidth="1"/>
    <col min="3608" max="3657" width="0" style="2" hidden="1" customWidth="1"/>
    <col min="3658" max="3845" width="11.42578125" style="2"/>
    <col min="3846" max="3846" width="41.28515625" style="2" customWidth="1"/>
    <col min="3847" max="3848" width="40.42578125" style="2" customWidth="1"/>
    <col min="3849" max="3849" width="27" style="2" customWidth="1"/>
    <col min="3850" max="3850" width="19" style="2" customWidth="1"/>
    <col min="3851" max="3851" width="26.7109375" style="2" customWidth="1"/>
    <col min="3852" max="3852" width="31.5703125" style="2" customWidth="1"/>
    <col min="3853" max="3853" width="17.7109375" style="2" customWidth="1"/>
    <col min="3854" max="3854" width="18.5703125" style="2" customWidth="1"/>
    <col min="3855" max="3855" width="21.7109375" style="2" customWidth="1"/>
    <col min="3856" max="3856" width="19.85546875" style="2" customWidth="1"/>
    <col min="3857" max="3857" width="34.140625" style="2" customWidth="1"/>
    <col min="3858" max="3858" width="17" style="2" customWidth="1"/>
    <col min="3859" max="3859" width="36.42578125" style="2" customWidth="1"/>
    <col min="3860" max="3860" width="26.5703125" style="2" customWidth="1"/>
    <col min="3861" max="3863" width="30.42578125" style="2" customWidth="1"/>
    <col min="3864" max="3913" width="0" style="2" hidden="1" customWidth="1"/>
    <col min="3914" max="4101" width="11.42578125" style="2"/>
    <col min="4102" max="4102" width="41.28515625" style="2" customWidth="1"/>
    <col min="4103" max="4104" width="40.42578125" style="2" customWidth="1"/>
    <col min="4105" max="4105" width="27" style="2" customWidth="1"/>
    <col min="4106" max="4106" width="19" style="2" customWidth="1"/>
    <col min="4107" max="4107" width="26.7109375" style="2" customWidth="1"/>
    <col min="4108" max="4108" width="31.5703125" style="2" customWidth="1"/>
    <col min="4109" max="4109" width="17.7109375" style="2" customWidth="1"/>
    <col min="4110" max="4110" width="18.5703125" style="2" customWidth="1"/>
    <col min="4111" max="4111" width="21.7109375" style="2" customWidth="1"/>
    <col min="4112" max="4112" width="19.85546875" style="2" customWidth="1"/>
    <col min="4113" max="4113" width="34.140625" style="2" customWidth="1"/>
    <col min="4114" max="4114" width="17" style="2" customWidth="1"/>
    <col min="4115" max="4115" width="36.42578125" style="2" customWidth="1"/>
    <col min="4116" max="4116" width="26.5703125" style="2" customWidth="1"/>
    <col min="4117" max="4119" width="30.42578125" style="2" customWidth="1"/>
    <col min="4120" max="4169" width="0" style="2" hidden="1" customWidth="1"/>
    <col min="4170" max="4357" width="11.42578125" style="2"/>
    <col min="4358" max="4358" width="41.28515625" style="2" customWidth="1"/>
    <col min="4359" max="4360" width="40.42578125" style="2" customWidth="1"/>
    <col min="4361" max="4361" width="27" style="2" customWidth="1"/>
    <col min="4362" max="4362" width="19" style="2" customWidth="1"/>
    <col min="4363" max="4363" width="26.7109375" style="2" customWidth="1"/>
    <col min="4364" max="4364" width="31.5703125" style="2" customWidth="1"/>
    <col min="4365" max="4365" width="17.7109375" style="2" customWidth="1"/>
    <col min="4366" max="4366" width="18.5703125" style="2" customWidth="1"/>
    <col min="4367" max="4367" width="21.7109375" style="2" customWidth="1"/>
    <col min="4368" max="4368" width="19.85546875" style="2" customWidth="1"/>
    <col min="4369" max="4369" width="34.140625" style="2" customWidth="1"/>
    <col min="4370" max="4370" width="17" style="2" customWidth="1"/>
    <col min="4371" max="4371" width="36.42578125" style="2" customWidth="1"/>
    <col min="4372" max="4372" width="26.5703125" style="2" customWidth="1"/>
    <col min="4373" max="4375" width="30.42578125" style="2" customWidth="1"/>
    <col min="4376" max="4425" width="0" style="2" hidden="1" customWidth="1"/>
    <col min="4426" max="4613" width="11.42578125" style="2"/>
    <col min="4614" max="4614" width="41.28515625" style="2" customWidth="1"/>
    <col min="4615" max="4616" width="40.42578125" style="2" customWidth="1"/>
    <col min="4617" max="4617" width="27" style="2" customWidth="1"/>
    <col min="4618" max="4618" width="19" style="2" customWidth="1"/>
    <col min="4619" max="4619" width="26.7109375" style="2" customWidth="1"/>
    <col min="4620" max="4620" width="31.5703125" style="2" customWidth="1"/>
    <col min="4621" max="4621" width="17.7109375" style="2" customWidth="1"/>
    <col min="4622" max="4622" width="18.5703125" style="2" customWidth="1"/>
    <col min="4623" max="4623" width="21.7109375" style="2" customWidth="1"/>
    <col min="4624" max="4624" width="19.85546875" style="2" customWidth="1"/>
    <col min="4625" max="4625" width="34.140625" style="2" customWidth="1"/>
    <col min="4626" max="4626" width="17" style="2" customWidth="1"/>
    <col min="4627" max="4627" width="36.42578125" style="2" customWidth="1"/>
    <col min="4628" max="4628" width="26.5703125" style="2" customWidth="1"/>
    <col min="4629" max="4631" width="30.42578125" style="2" customWidth="1"/>
    <col min="4632" max="4681" width="0" style="2" hidden="1" customWidth="1"/>
    <col min="4682" max="4869" width="11.42578125" style="2"/>
    <col min="4870" max="4870" width="41.28515625" style="2" customWidth="1"/>
    <col min="4871" max="4872" width="40.42578125" style="2" customWidth="1"/>
    <col min="4873" max="4873" width="27" style="2" customWidth="1"/>
    <col min="4874" max="4874" width="19" style="2" customWidth="1"/>
    <col min="4875" max="4875" width="26.7109375" style="2" customWidth="1"/>
    <col min="4876" max="4876" width="31.5703125" style="2" customWidth="1"/>
    <col min="4877" max="4877" width="17.7109375" style="2" customWidth="1"/>
    <col min="4878" max="4878" width="18.5703125" style="2" customWidth="1"/>
    <col min="4879" max="4879" width="21.7109375" style="2" customWidth="1"/>
    <col min="4880" max="4880" width="19.85546875" style="2" customWidth="1"/>
    <col min="4881" max="4881" width="34.140625" style="2" customWidth="1"/>
    <col min="4882" max="4882" width="17" style="2" customWidth="1"/>
    <col min="4883" max="4883" width="36.42578125" style="2" customWidth="1"/>
    <col min="4884" max="4884" width="26.5703125" style="2" customWidth="1"/>
    <col min="4885" max="4887" width="30.42578125" style="2" customWidth="1"/>
    <col min="4888" max="4937" width="0" style="2" hidden="1" customWidth="1"/>
    <col min="4938" max="5125" width="11.42578125" style="2"/>
    <col min="5126" max="5126" width="41.28515625" style="2" customWidth="1"/>
    <col min="5127" max="5128" width="40.42578125" style="2" customWidth="1"/>
    <col min="5129" max="5129" width="27" style="2" customWidth="1"/>
    <col min="5130" max="5130" width="19" style="2" customWidth="1"/>
    <col min="5131" max="5131" width="26.7109375" style="2" customWidth="1"/>
    <col min="5132" max="5132" width="31.5703125" style="2" customWidth="1"/>
    <col min="5133" max="5133" width="17.7109375" style="2" customWidth="1"/>
    <col min="5134" max="5134" width="18.5703125" style="2" customWidth="1"/>
    <col min="5135" max="5135" width="21.7109375" style="2" customWidth="1"/>
    <col min="5136" max="5136" width="19.85546875" style="2" customWidth="1"/>
    <col min="5137" max="5137" width="34.140625" style="2" customWidth="1"/>
    <col min="5138" max="5138" width="17" style="2" customWidth="1"/>
    <col min="5139" max="5139" width="36.42578125" style="2" customWidth="1"/>
    <col min="5140" max="5140" width="26.5703125" style="2" customWidth="1"/>
    <col min="5141" max="5143" width="30.42578125" style="2" customWidth="1"/>
    <col min="5144" max="5193" width="0" style="2" hidden="1" customWidth="1"/>
    <col min="5194" max="5381" width="11.42578125" style="2"/>
    <col min="5382" max="5382" width="41.28515625" style="2" customWidth="1"/>
    <col min="5383" max="5384" width="40.42578125" style="2" customWidth="1"/>
    <col min="5385" max="5385" width="27" style="2" customWidth="1"/>
    <col min="5386" max="5386" width="19" style="2" customWidth="1"/>
    <col min="5387" max="5387" width="26.7109375" style="2" customWidth="1"/>
    <col min="5388" max="5388" width="31.5703125" style="2" customWidth="1"/>
    <col min="5389" max="5389" width="17.7109375" style="2" customWidth="1"/>
    <col min="5390" max="5390" width="18.5703125" style="2" customWidth="1"/>
    <col min="5391" max="5391" width="21.7109375" style="2" customWidth="1"/>
    <col min="5392" max="5392" width="19.85546875" style="2" customWidth="1"/>
    <col min="5393" max="5393" width="34.140625" style="2" customWidth="1"/>
    <col min="5394" max="5394" width="17" style="2" customWidth="1"/>
    <col min="5395" max="5395" width="36.42578125" style="2" customWidth="1"/>
    <col min="5396" max="5396" width="26.5703125" style="2" customWidth="1"/>
    <col min="5397" max="5399" width="30.42578125" style="2" customWidth="1"/>
    <col min="5400" max="5449" width="0" style="2" hidden="1" customWidth="1"/>
    <col min="5450" max="5637" width="11.42578125" style="2"/>
    <col min="5638" max="5638" width="41.28515625" style="2" customWidth="1"/>
    <col min="5639" max="5640" width="40.42578125" style="2" customWidth="1"/>
    <col min="5641" max="5641" width="27" style="2" customWidth="1"/>
    <col min="5642" max="5642" width="19" style="2" customWidth="1"/>
    <col min="5643" max="5643" width="26.7109375" style="2" customWidth="1"/>
    <col min="5644" max="5644" width="31.5703125" style="2" customWidth="1"/>
    <col min="5645" max="5645" width="17.7109375" style="2" customWidth="1"/>
    <col min="5646" max="5646" width="18.5703125" style="2" customWidth="1"/>
    <col min="5647" max="5647" width="21.7109375" style="2" customWidth="1"/>
    <col min="5648" max="5648" width="19.85546875" style="2" customWidth="1"/>
    <col min="5649" max="5649" width="34.140625" style="2" customWidth="1"/>
    <col min="5650" max="5650" width="17" style="2" customWidth="1"/>
    <col min="5651" max="5651" width="36.42578125" style="2" customWidth="1"/>
    <col min="5652" max="5652" width="26.5703125" style="2" customWidth="1"/>
    <col min="5653" max="5655" width="30.42578125" style="2" customWidth="1"/>
    <col min="5656" max="5705" width="0" style="2" hidden="1" customWidth="1"/>
    <col min="5706" max="5893" width="11.42578125" style="2"/>
    <col min="5894" max="5894" width="41.28515625" style="2" customWidth="1"/>
    <col min="5895" max="5896" width="40.42578125" style="2" customWidth="1"/>
    <col min="5897" max="5897" width="27" style="2" customWidth="1"/>
    <col min="5898" max="5898" width="19" style="2" customWidth="1"/>
    <col min="5899" max="5899" width="26.7109375" style="2" customWidth="1"/>
    <col min="5900" max="5900" width="31.5703125" style="2" customWidth="1"/>
    <col min="5901" max="5901" width="17.7109375" style="2" customWidth="1"/>
    <col min="5902" max="5902" width="18.5703125" style="2" customWidth="1"/>
    <col min="5903" max="5903" width="21.7109375" style="2" customWidth="1"/>
    <col min="5904" max="5904" width="19.85546875" style="2" customWidth="1"/>
    <col min="5905" max="5905" width="34.140625" style="2" customWidth="1"/>
    <col min="5906" max="5906" width="17" style="2" customWidth="1"/>
    <col min="5907" max="5907" width="36.42578125" style="2" customWidth="1"/>
    <col min="5908" max="5908" width="26.5703125" style="2" customWidth="1"/>
    <col min="5909" max="5911" width="30.42578125" style="2" customWidth="1"/>
    <col min="5912" max="5961" width="0" style="2" hidden="1" customWidth="1"/>
    <col min="5962" max="6149" width="11.42578125" style="2"/>
    <col min="6150" max="6150" width="41.28515625" style="2" customWidth="1"/>
    <col min="6151" max="6152" width="40.42578125" style="2" customWidth="1"/>
    <col min="6153" max="6153" width="27" style="2" customWidth="1"/>
    <col min="6154" max="6154" width="19" style="2" customWidth="1"/>
    <col min="6155" max="6155" width="26.7109375" style="2" customWidth="1"/>
    <col min="6156" max="6156" width="31.5703125" style="2" customWidth="1"/>
    <col min="6157" max="6157" width="17.7109375" style="2" customWidth="1"/>
    <col min="6158" max="6158" width="18.5703125" style="2" customWidth="1"/>
    <col min="6159" max="6159" width="21.7109375" style="2" customWidth="1"/>
    <col min="6160" max="6160" width="19.85546875" style="2" customWidth="1"/>
    <col min="6161" max="6161" width="34.140625" style="2" customWidth="1"/>
    <col min="6162" max="6162" width="17" style="2" customWidth="1"/>
    <col min="6163" max="6163" width="36.42578125" style="2" customWidth="1"/>
    <col min="6164" max="6164" width="26.5703125" style="2" customWidth="1"/>
    <col min="6165" max="6167" width="30.42578125" style="2" customWidth="1"/>
    <col min="6168" max="6217" width="0" style="2" hidden="1" customWidth="1"/>
    <col min="6218" max="6405" width="11.42578125" style="2"/>
    <col min="6406" max="6406" width="41.28515625" style="2" customWidth="1"/>
    <col min="6407" max="6408" width="40.42578125" style="2" customWidth="1"/>
    <col min="6409" max="6409" width="27" style="2" customWidth="1"/>
    <col min="6410" max="6410" width="19" style="2" customWidth="1"/>
    <col min="6411" max="6411" width="26.7109375" style="2" customWidth="1"/>
    <col min="6412" max="6412" width="31.5703125" style="2" customWidth="1"/>
    <col min="6413" max="6413" width="17.7109375" style="2" customWidth="1"/>
    <col min="6414" max="6414" width="18.5703125" style="2" customWidth="1"/>
    <col min="6415" max="6415" width="21.7109375" style="2" customWidth="1"/>
    <col min="6416" max="6416" width="19.85546875" style="2" customWidth="1"/>
    <col min="6417" max="6417" width="34.140625" style="2" customWidth="1"/>
    <col min="6418" max="6418" width="17" style="2" customWidth="1"/>
    <col min="6419" max="6419" width="36.42578125" style="2" customWidth="1"/>
    <col min="6420" max="6420" width="26.5703125" style="2" customWidth="1"/>
    <col min="6421" max="6423" width="30.42578125" style="2" customWidth="1"/>
    <col min="6424" max="6473" width="0" style="2" hidden="1" customWidth="1"/>
    <col min="6474" max="6661" width="11.42578125" style="2"/>
    <col min="6662" max="6662" width="41.28515625" style="2" customWidth="1"/>
    <col min="6663" max="6664" width="40.42578125" style="2" customWidth="1"/>
    <col min="6665" max="6665" width="27" style="2" customWidth="1"/>
    <col min="6666" max="6666" width="19" style="2" customWidth="1"/>
    <col min="6667" max="6667" width="26.7109375" style="2" customWidth="1"/>
    <col min="6668" max="6668" width="31.5703125" style="2" customWidth="1"/>
    <col min="6669" max="6669" width="17.7109375" style="2" customWidth="1"/>
    <col min="6670" max="6670" width="18.5703125" style="2" customWidth="1"/>
    <col min="6671" max="6671" width="21.7109375" style="2" customWidth="1"/>
    <col min="6672" max="6672" width="19.85546875" style="2" customWidth="1"/>
    <col min="6673" max="6673" width="34.140625" style="2" customWidth="1"/>
    <col min="6674" max="6674" width="17" style="2" customWidth="1"/>
    <col min="6675" max="6675" width="36.42578125" style="2" customWidth="1"/>
    <col min="6676" max="6676" width="26.5703125" style="2" customWidth="1"/>
    <col min="6677" max="6679" width="30.42578125" style="2" customWidth="1"/>
    <col min="6680" max="6729" width="0" style="2" hidden="1" customWidth="1"/>
    <col min="6730" max="6917" width="11.42578125" style="2"/>
    <col min="6918" max="6918" width="41.28515625" style="2" customWidth="1"/>
    <col min="6919" max="6920" width="40.42578125" style="2" customWidth="1"/>
    <col min="6921" max="6921" width="27" style="2" customWidth="1"/>
    <col min="6922" max="6922" width="19" style="2" customWidth="1"/>
    <col min="6923" max="6923" width="26.7109375" style="2" customWidth="1"/>
    <col min="6924" max="6924" width="31.5703125" style="2" customWidth="1"/>
    <col min="6925" max="6925" width="17.7109375" style="2" customWidth="1"/>
    <col min="6926" max="6926" width="18.5703125" style="2" customWidth="1"/>
    <col min="6927" max="6927" width="21.7109375" style="2" customWidth="1"/>
    <col min="6928" max="6928" width="19.85546875" style="2" customWidth="1"/>
    <col min="6929" max="6929" width="34.140625" style="2" customWidth="1"/>
    <col min="6930" max="6930" width="17" style="2" customWidth="1"/>
    <col min="6931" max="6931" width="36.42578125" style="2" customWidth="1"/>
    <col min="6932" max="6932" width="26.5703125" style="2" customWidth="1"/>
    <col min="6933" max="6935" width="30.42578125" style="2" customWidth="1"/>
    <col min="6936" max="6985" width="0" style="2" hidden="1" customWidth="1"/>
    <col min="6986" max="7173" width="11.42578125" style="2"/>
    <col min="7174" max="7174" width="41.28515625" style="2" customWidth="1"/>
    <col min="7175" max="7176" width="40.42578125" style="2" customWidth="1"/>
    <col min="7177" max="7177" width="27" style="2" customWidth="1"/>
    <col min="7178" max="7178" width="19" style="2" customWidth="1"/>
    <col min="7179" max="7179" width="26.7109375" style="2" customWidth="1"/>
    <col min="7180" max="7180" width="31.5703125" style="2" customWidth="1"/>
    <col min="7181" max="7181" width="17.7109375" style="2" customWidth="1"/>
    <col min="7182" max="7182" width="18.5703125" style="2" customWidth="1"/>
    <col min="7183" max="7183" width="21.7109375" style="2" customWidth="1"/>
    <col min="7184" max="7184" width="19.85546875" style="2" customWidth="1"/>
    <col min="7185" max="7185" width="34.140625" style="2" customWidth="1"/>
    <col min="7186" max="7186" width="17" style="2" customWidth="1"/>
    <col min="7187" max="7187" width="36.42578125" style="2" customWidth="1"/>
    <col min="7188" max="7188" width="26.5703125" style="2" customWidth="1"/>
    <col min="7189" max="7191" width="30.42578125" style="2" customWidth="1"/>
    <col min="7192" max="7241" width="0" style="2" hidden="1" customWidth="1"/>
    <col min="7242" max="7429" width="11.42578125" style="2"/>
    <col min="7430" max="7430" width="41.28515625" style="2" customWidth="1"/>
    <col min="7431" max="7432" width="40.42578125" style="2" customWidth="1"/>
    <col min="7433" max="7433" width="27" style="2" customWidth="1"/>
    <col min="7434" max="7434" width="19" style="2" customWidth="1"/>
    <col min="7435" max="7435" width="26.7109375" style="2" customWidth="1"/>
    <col min="7436" max="7436" width="31.5703125" style="2" customWidth="1"/>
    <col min="7437" max="7437" width="17.7109375" style="2" customWidth="1"/>
    <col min="7438" max="7438" width="18.5703125" style="2" customWidth="1"/>
    <col min="7439" max="7439" width="21.7109375" style="2" customWidth="1"/>
    <col min="7440" max="7440" width="19.85546875" style="2" customWidth="1"/>
    <col min="7441" max="7441" width="34.140625" style="2" customWidth="1"/>
    <col min="7442" max="7442" width="17" style="2" customWidth="1"/>
    <col min="7443" max="7443" width="36.42578125" style="2" customWidth="1"/>
    <col min="7444" max="7444" width="26.5703125" style="2" customWidth="1"/>
    <col min="7445" max="7447" width="30.42578125" style="2" customWidth="1"/>
    <col min="7448" max="7497" width="0" style="2" hidden="1" customWidth="1"/>
    <col min="7498" max="7685" width="11.42578125" style="2"/>
    <col min="7686" max="7686" width="41.28515625" style="2" customWidth="1"/>
    <col min="7687" max="7688" width="40.42578125" style="2" customWidth="1"/>
    <col min="7689" max="7689" width="27" style="2" customWidth="1"/>
    <col min="7690" max="7690" width="19" style="2" customWidth="1"/>
    <col min="7691" max="7691" width="26.7109375" style="2" customWidth="1"/>
    <col min="7692" max="7692" width="31.5703125" style="2" customWidth="1"/>
    <col min="7693" max="7693" width="17.7109375" style="2" customWidth="1"/>
    <col min="7694" max="7694" width="18.5703125" style="2" customWidth="1"/>
    <col min="7695" max="7695" width="21.7109375" style="2" customWidth="1"/>
    <col min="7696" max="7696" width="19.85546875" style="2" customWidth="1"/>
    <col min="7697" max="7697" width="34.140625" style="2" customWidth="1"/>
    <col min="7698" max="7698" width="17" style="2" customWidth="1"/>
    <col min="7699" max="7699" width="36.42578125" style="2" customWidth="1"/>
    <col min="7700" max="7700" width="26.5703125" style="2" customWidth="1"/>
    <col min="7701" max="7703" width="30.42578125" style="2" customWidth="1"/>
    <col min="7704" max="7753" width="0" style="2" hidden="1" customWidth="1"/>
    <col min="7754" max="7941" width="11.42578125" style="2"/>
    <col min="7942" max="7942" width="41.28515625" style="2" customWidth="1"/>
    <col min="7943" max="7944" width="40.42578125" style="2" customWidth="1"/>
    <col min="7945" max="7945" width="27" style="2" customWidth="1"/>
    <col min="7946" max="7946" width="19" style="2" customWidth="1"/>
    <col min="7947" max="7947" width="26.7109375" style="2" customWidth="1"/>
    <col min="7948" max="7948" width="31.5703125" style="2" customWidth="1"/>
    <col min="7949" max="7949" width="17.7109375" style="2" customWidth="1"/>
    <col min="7950" max="7950" width="18.5703125" style="2" customWidth="1"/>
    <col min="7951" max="7951" width="21.7109375" style="2" customWidth="1"/>
    <col min="7952" max="7952" width="19.85546875" style="2" customWidth="1"/>
    <col min="7953" max="7953" width="34.140625" style="2" customWidth="1"/>
    <col min="7954" max="7954" width="17" style="2" customWidth="1"/>
    <col min="7955" max="7955" width="36.42578125" style="2" customWidth="1"/>
    <col min="7956" max="7956" width="26.5703125" style="2" customWidth="1"/>
    <col min="7957" max="7959" width="30.42578125" style="2" customWidth="1"/>
    <col min="7960" max="8009" width="0" style="2" hidden="1" customWidth="1"/>
    <col min="8010" max="8197" width="11.42578125" style="2"/>
    <col min="8198" max="8198" width="41.28515625" style="2" customWidth="1"/>
    <col min="8199" max="8200" width="40.42578125" style="2" customWidth="1"/>
    <col min="8201" max="8201" width="27" style="2" customWidth="1"/>
    <col min="8202" max="8202" width="19" style="2" customWidth="1"/>
    <col min="8203" max="8203" width="26.7109375" style="2" customWidth="1"/>
    <col min="8204" max="8204" width="31.5703125" style="2" customWidth="1"/>
    <col min="8205" max="8205" width="17.7109375" style="2" customWidth="1"/>
    <col min="8206" max="8206" width="18.5703125" style="2" customWidth="1"/>
    <col min="8207" max="8207" width="21.7109375" style="2" customWidth="1"/>
    <col min="8208" max="8208" width="19.85546875" style="2" customWidth="1"/>
    <col min="8209" max="8209" width="34.140625" style="2" customWidth="1"/>
    <col min="8210" max="8210" width="17" style="2" customWidth="1"/>
    <col min="8211" max="8211" width="36.42578125" style="2" customWidth="1"/>
    <col min="8212" max="8212" width="26.5703125" style="2" customWidth="1"/>
    <col min="8213" max="8215" width="30.42578125" style="2" customWidth="1"/>
    <col min="8216" max="8265" width="0" style="2" hidden="1" customWidth="1"/>
    <col min="8266" max="8453" width="11.42578125" style="2"/>
    <col min="8454" max="8454" width="41.28515625" style="2" customWidth="1"/>
    <col min="8455" max="8456" width="40.42578125" style="2" customWidth="1"/>
    <col min="8457" max="8457" width="27" style="2" customWidth="1"/>
    <col min="8458" max="8458" width="19" style="2" customWidth="1"/>
    <col min="8459" max="8459" width="26.7109375" style="2" customWidth="1"/>
    <col min="8460" max="8460" width="31.5703125" style="2" customWidth="1"/>
    <col min="8461" max="8461" width="17.7109375" style="2" customWidth="1"/>
    <col min="8462" max="8462" width="18.5703125" style="2" customWidth="1"/>
    <col min="8463" max="8463" width="21.7109375" style="2" customWidth="1"/>
    <col min="8464" max="8464" width="19.85546875" style="2" customWidth="1"/>
    <col min="8465" max="8465" width="34.140625" style="2" customWidth="1"/>
    <col min="8466" max="8466" width="17" style="2" customWidth="1"/>
    <col min="8467" max="8467" width="36.42578125" style="2" customWidth="1"/>
    <col min="8468" max="8468" width="26.5703125" style="2" customWidth="1"/>
    <col min="8469" max="8471" width="30.42578125" style="2" customWidth="1"/>
    <col min="8472" max="8521" width="0" style="2" hidden="1" customWidth="1"/>
    <col min="8522" max="8709" width="11.42578125" style="2"/>
    <col min="8710" max="8710" width="41.28515625" style="2" customWidth="1"/>
    <col min="8711" max="8712" width="40.42578125" style="2" customWidth="1"/>
    <col min="8713" max="8713" width="27" style="2" customWidth="1"/>
    <col min="8714" max="8714" width="19" style="2" customWidth="1"/>
    <col min="8715" max="8715" width="26.7109375" style="2" customWidth="1"/>
    <col min="8716" max="8716" width="31.5703125" style="2" customWidth="1"/>
    <col min="8717" max="8717" width="17.7109375" style="2" customWidth="1"/>
    <col min="8718" max="8718" width="18.5703125" style="2" customWidth="1"/>
    <col min="8719" max="8719" width="21.7109375" style="2" customWidth="1"/>
    <col min="8720" max="8720" width="19.85546875" style="2" customWidth="1"/>
    <col min="8721" max="8721" width="34.140625" style="2" customWidth="1"/>
    <col min="8722" max="8722" width="17" style="2" customWidth="1"/>
    <col min="8723" max="8723" width="36.42578125" style="2" customWidth="1"/>
    <col min="8724" max="8724" width="26.5703125" style="2" customWidth="1"/>
    <col min="8725" max="8727" width="30.42578125" style="2" customWidth="1"/>
    <col min="8728" max="8777" width="0" style="2" hidden="1" customWidth="1"/>
    <col min="8778" max="8965" width="11.42578125" style="2"/>
    <col min="8966" max="8966" width="41.28515625" style="2" customWidth="1"/>
    <col min="8967" max="8968" width="40.42578125" style="2" customWidth="1"/>
    <col min="8969" max="8969" width="27" style="2" customWidth="1"/>
    <col min="8970" max="8970" width="19" style="2" customWidth="1"/>
    <col min="8971" max="8971" width="26.7109375" style="2" customWidth="1"/>
    <col min="8972" max="8972" width="31.5703125" style="2" customWidth="1"/>
    <col min="8973" max="8973" width="17.7109375" style="2" customWidth="1"/>
    <col min="8974" max="8974" width="18.5703125" style="2" customWidth="1"/>
    <col min="8975" max="8975" width="21.7109375" style="2" customWidth="1"/>
    <col min="8976" max="8976" width="19.85546875" style="2" customWidth="1"/>
    <col min="8977" max="8977" width="34.140625" style="2" customWidth="1"/>
    <col min="8978" max="8978" width="17" style="2" customWidth="1"/>
    <col min="8979" max="8979" width="36.42578125" style="2" customWidth="1"/>
    <col min="8980" max="8980" width="26.5703125" style="2" customWidth="1"/>
    <col min="8981" max="8983" width="30.42578125" style="2" customWidth="1"/>
    <col min="8984" max="9033" width="0" style="2" hidden="1" customWidth="1"/>
    <col min="9034" max="9221" width="11.42578125" style="2"/>
    <col min="9222" max="9222" width="41.28515625" style="2" customWidth="1"/>
    <col min="9223" max="9224" width="40.42578125" style="2" customWidth="1"/>
    <col min="9225" max="9225" width="27" style="2" customWidth="1"/>
    <col min="9226" max="9226" width="19" style="2" customWidth="1"/>
    <col min="9227" max="9227" width="26.7109375" style="2" customWidth="1"/>
    <col min="9228" max="9228" width="31.5703125" style="2" customWidth="1"/>
    <col min="9229" max="9229" width="17.7109375" style="2" customWidth="1"/>
    <col min="9230" max="9230" width="18.5703125" style="2" customWidth="1"/>
    <col min="9231" max="9231" width="21.7109375" style="2" customWidth="1"/>
    <col min="9232" max="9232" width="19.85546875" style="2" customWidth="1"/>
    <col min="9233" max="9233" width="34.140625" style="2" customWidth="1"/>
    <col min="9234" max="9234" width="17" style="2" customWidth="1"/>
    <col min="9235" max="9235" width="36.42578125" style="2" customWidth="1"/>
    <col min="9236" max="9236" width="26.5703125" style="2" customWidth="1"/>
    <col min="9237" max="9239" width="30.42578125" style="2" customWidth="1"/>
    <col min="9240" max="9289" width="0" style="2" hidden="1" customWidth="1"/>
    <col min="9290" max="9477" width="11.42578125" style="2"/>
    <col min="9478" max="9478" width="41.28515625" style="2" customWidth="1"/>
    <col min="9479" max="9480" width="40.42578125" style="2" customWidth="1"/>
    <col min="9481" max="9481" width="27" style="2" customWidth="1"/>
    <col min="9482" max="9482" width="19" style="2" customWidth="1"/>
    <col min="9483" max="9483" width="26.7109375" style="2" customWidth="1"/>
    <col min="9484" max="9484" width="31.5703125" style="2" customWidth="1"/>
    <col min="9485" max="9485" width="17.7109375" style="2" customWidth="1"/>
    <col min="9486" max="9486" width="18.5703125" style="2" customWidth="1"/>
    <col min="9487" max="9487" width="21.7109375" style="2" customWidth="1"/>
    <col min="9488" max="9488" width="19.85546875" style="2" customWidth="1"/>
    <col min="9489" max="9489" width="34.140625" style="2" customWidth="1"/>
    <col min="9490" max="9490" width="17" style="2" customWidth="1"/>
    <col min="9491" max="9491" width="36.42578125" style="2" customWidth="1"/>
    <col min="9492" max="9492" width="26.5703125" style="2" customWidth="1"/>
    <col min="9493" max="9495" width="30.42578125" style="2" customWidth="1"/>
    <col min="9496" max="9545" width="0" style="2" hidden="1" customWidth="1"/>
    <col min="9546" max="9733" width="11.42578125" style="2"/>
    <col min="9734" max="9734" width="41.28515625" style="2" customWidth="1"/>
    <col min="9735" max="9736" width="40.42578125" style="2" customWidth="1"/>
    <col min="9737" max="9737" width="27" style="2" customWidth="1"/>
    <col min="9738" max="9738" width="19" style="2" customWidth="1"/>
    <col min="9739" max="9739" width="26.7109375" style="2" customWidth="1"/>
    <col min="9740" max="9740" width="31.5703125" style="2" customWidth="1"/>
    <col min="9741" max="9741" width="17.7109375" style="2" customWidth="1"/>
    <col min="9742" max="9742" width="18.5703125" style="2" customWidth="1"/>
    <col min="9743" max="9743" width="21.7109375" style="2" customWidth="1"/>
    <col min="9744" max="9744" width="19.85546875" style="2" customWidth="1"/>
    <col min="9745" max="9745" width="34.140625" style="2" customWidth="1"/>
    <col min="9746" max="9746" width="17" style="2" customWidth="1"/>
    <col min="9747" max="9747" width="36.42578125" style="2" customWidth="1"/>
    <col min="9748" max="9748" width="26.5703125" style="2" customWidth="1"/>
    <col min="9749" max="9751" width="30.42578125" style="2" customWidth="1"/>
    <col min="9752" max="9801" width="0" style="2" hidden="1" customWidth="1"/>
    <col min="9802" max="9989" width="11.42578125" style="2"/>
    <col min="9990" max="9990" width="41.28515625" style="2" customWidth="1"/>
    <col min="9991" max="9992" width="40.42578125" style="2" customWidth="1"/>
    <col min="9993" max="9993" width="27" style="2" customWidth="1"/>
    <col min="9994" max="9994" width="19" style="2" customWidth="1"/>
    <col min="9995" max="9995" width="26.7109375" style="2" customWidth="1"/>
    <col min="9996" max="9996" width="31.5703125" style="2" customWidth="1"/>
    <col min="9997" max="9997" width="17.7109375" style="2" customWidth="1"/>
    <col min="9998" max="9998" width="18.5703125" style="2" customWidth="1"/>
    <col min="9999" max="9999" width="21.7109375" style="2" customWidth="1"/>
    <col min="10000" max="10000" width="19.85546875" style="2" customWidth="1"/>
    <col min="10001" max="10001" width="34.140625" style="2" customWidth="1"/>
    <col min="10002" max="10002" width="17" style="2" customWidth="1"/>
    <col min="10003" max="10003" width="36.42578125" style="2" customWidth="1"/>
    <col min="10004" max="10004" width="26.5703125" style="2" customWidth="1"/>
    <col min="10005" max="10007" width="30.42578125" style="2" customWidth="1"/>
    <col min="10008" max="10057" width="0" style="2" hidden="1" customWidth="1"/>
    <col min="10058" max="10245" width="11.42578125" style="2"/>
    <col min="10246" max="10246" width="41.28515625" style="2" customWidth="1"/>
    <col min="10247" max="10248" width="40.42578125" style="2" customWidth="1"/>
    <col min="10249" max="10249" width="27" style="2" customWidth="1"/>
    <col min="10250" max="10250" width="19" style="2" customWidth="1"/>
    <col min="10251" max="10251" width="26.7109375" style="2" customWidth="1"/>
    <col min="10252" max="10252" width="31.5703125" style="2" customWidth="1"/>
    <col min="10253" max="10253" width="17.7109375" style="2" customWidth="1"/>
    <col min="10254" max="10254" width="18.5703125" style="2" customWidth="1"/>
    <col min="10255" max="10255" width="21.7109375" style="2" customWidth="1"/>
    <col min="10256" max="10256" width="19.85546875" style="2" customWidth="1"/>
    <col min="10257" max="10257" width="34.140625" style="2" customWidth="1"/>
    <col min="10258" max="10258" width="17" style="2" customWidth="1"/>
    <col min="10259" max="10259" width="36.42578125" style="2" customWidth="1"/>
    <col min="10260" max="10260" width="26.5703125" style="2" customWidth="1"/>
    <col min="10261" max="10263" width="30.42578125" style="2" customWidth="1"/>
    <col min="10264" max="10313" width="0" style="2" hidden="1" customWidth="1"/>
    <col min="10314" max="10501" width="11.42578125" style="2"/>
    <col min="10502" max="10502" width="41.28515625" style="2" customWidth="1"/>
    <col min="10503" max="10504" width="40.42578125" style="2" customWidth="1"/>
    <col min="10505" max="10505" width="27" style="2" customWidth="1"/>
    <col min="10506" max="10506" width="19" style="2" customWidth="1"/>
    <col min="10507" max="10507" width="26.7109375" style="2" customWidth="1"/>
    <col min="10508" max="10508" width="31.5703125" style="2" customWidth="1"/>
    <col min="10509" max="10509" width="17.7109375" style="2" customWidth="1"/>
    <col min="10510" max="10510" width="18.5703125" style="2" customWidth="1"/>
    <col min="10511" max="10511" width="21.7109375" style="2" customWidth="1"/>
    <col min="10512" max="10512" width="19.85546875" style="2" customWidth="1"/>
    <col min="10513" max="10513" width="34.140625" style="2" customWidth="1"/>
    <col min="10514" max="10514" width="17" style="2" customWidth="1"/>
    <col min="10515" max="10515" width="36.42578125" style="2" customWidth="1"/>
    <col min="10516" max="10516" width="26.5703125" style="2" customWidth="1"/>
    <col min="10517" max="10519" width="30.42578125" style="2" customWidth="1"/>
    <col min="10520" max="10569" width="0" style="2" hidden="1" customWidth="1"/>
    <col min="10570" max="10757" width="11.42578125" style="2"/>
    <col min="10758" max="10758" width="41.28515625" style="2" customWidth="1"/>
    <col min="10759" max="10760" width="40.42578125" style="2" customWidth="1"/>
    <col min="10761" max="10761" width="27" style="2" customWidth="1"/>
    <col min="10762" max="10762" width="19" style="2" customWidth="1"/>
    <col min="10763" max="10763" width="26.7109375" style="2" customWidth="1"/>
    <col min="10764" max="10764" width="31.5703125" style="2" customWidth="1"/>
    <col min="10765" max="10765" width="17.7109375" style="2" customWidth="1"/>
    <col min="10766" max="10766" width="18.5703125" style="2" customWidth="1"/>
    <col min="10767" max="10767" width="21.7109375" style="2" customWidth="1"/>
    <col min="10768" max="10768" width="19.85546875" style="2" customWidth="1"/>
    <col min="10769" max="10769" width="34.140625" style="2" customWidth="1"/>
    <col min="10770" max="10770" width="17" style="2" customWidth="1"/>
    <col min="10771" max="10771" width="36.42578125" style="2" customWidth="1"/>
    <col min="10772" max="10772" width="26.5703125" style="2" customWidth="1"/>
    <col min="10773" max="10775" width="30.42578125" style="2" customWidth="1"/>
    <col min="10776" max="10825" width="0" style="2" hidden="1" customWidth="1"/>
    <col min="10826" max="11013" width="11.42578125" style="2"/>
    <col min="11014" max="11014" width="41.28515625" style="2" customWidth="1"/>
    <col min="11015" max="11016" width="40.42578125" style="2" customWidth="1"/>
    <col min="11017" max="11017" width="27" style="2" customWidth="1"/>
    <col min="11018" max="11018" width="19" style="2" customWidth="1"/>
    <col min="11019" max="11019" width="26.7109375" style="2" customWidth="1"/>
    <col min="11020" max="11020" width="31.5703125" style="2" customWidth="1"/>
    <col min="11021" max="11021" width="17.7109375" style="2" customWidth="1"/>
    <col min="11022" max="11022" width="18.5703125" style="2" customWidth="1"/>
    <col min="11023" max="11023" width="21.7109375" style="2" customWidth="1"/>
    <col min="11024" max="11024" width="19.85546875" style="2" customWidth="1"/>
    <col min="11025" max="11025" width="34.140625" style="2" customWidth="1"/>
    <col min="11026" max="11026" width="17" style="2" customWidth="1"/>
    <col min="11027" max="11027" width="36.42578125" style="2" customWidth="1"/>
    <col min="11028" max="11028" width="26.5703125" style="2" customWidth="1"/>
    <col min="11029" max="11031" width="30.42578125" style="2" customWidth="1"/>
    <col min="11032" max="11081" width="0" style="2" hidden="1" customWidth="1"/>
    <col min="11082" max="11269" width="11.42578125" style="2"/>
    <col min="11270" max="11270" width="41.28515625" style="2" customWidth="1"/>
    <col min="11271" max="11272" width="40.42578125" style="2" customWidth="1"/>
    <col min="11273" max="11273" width="27" style="2" customWidth="1"/>
    <col min="11274" max="11274" width="19" style="2" customWidth="1"/>
    <col min="11275" max="11275" width="26.7109375" style="2" customWidth="1"/>
    <col min="11276" max="11276" width="31.5703125" style="2" customWidth="1"/>
    <col min="11277" max="11277" width="17.7109375" style="2" customWidth="1"/>
    <col min="11278" max="11278" width="18.5703125" style="2" customWidth="1"/>
    <col min="11279" max="11279" width="21.7109375" style="2" customWidth="1"/>
    <col min="11280" max="11280" width="19.85546875" style="2" customWidth="1"/>
    <col min="11281" max="11281" width="34.140625" style="2" customWidth="1"/>
    <col min="11282" max="11282" width="17" style="2" customWidth="1"/>
    <col min="11283" max="11283" width="36.42578125" style="2" customWidth="1"/>
    <col min="11284" max="11284" width="26.5703125" style="2" customWidth="1"/>
    <col min="11285" max="11287" width="30.42578125" style="2" customWidth="1"/>
    <col min="11288" max="11337" width="0" style="2" hidden="1" customWidth="1"/>
    <col min="11338" max="11525" width="11.42578125" style="2"/>
    <col min="11526" max="11526" width="41.28515625" style="2" customWidth="1"/>
    <col min="11527" max="11528" width="40.42578125" style="2" customWidth="1"/>
    <col min="11529" max="11529" width="27" style="2" customWidth="1"/>
    <col min="11530" max="11530" width="19" style="2" customWidth="1"/>
    <col min="11531" max="11531" width="26.7109375" style="2" customWidth="1"/>
    <col min="11532" max="11532" width="31.5703125" style="2" customWidth="1"/>
    <col min="11533" max="11533" width="17.7109375" style="2" customWidth="1"/>
    <col min="11534" max="11534" width="18.5703125" style="2" customWidth="1"/>
    <col min="11535" max="11535" width="21.7109375" style="2" customWidth="1"/>
    <col min="11536" max="11536" width="19.85546875" style="2" customWidth="1"/>
    <col min="11537" max="11537" width="34.140625" style="2" customWidth="1"/>
    <col min="11538" max="11538" width="17" style="2" customWidth="1"/>
    <col min="11539" max="11539" width="36.42578125" style="2" customWidth="1"/>
    <col min="11540" max="11540" width="26.5703125" style="2" customWidth="1"/>
    <col min="11541" max="11543" width="30.42578125" style="2" customWidth="1"/>
    <col min="11544" max="11593" width="0" style="2" hidden="1" customWidth="1"/>
    <col min="11594" max="11781" width="11.42578125" style="2"/>
    <col min="11782" max="11782" width="41.28515625" style="2" customWidth="1"/>
    <col min="11783" max="11784" width="40.42578125" style="2" customWidth="1"/>
    <col min="11785" max="11785" width="27" style="2" customWidth="1"/>
    <col min="11786" max="11786" width="19" style="2" customWidth="1"/>
    <col min="11787" max="11787" width="26.7109375" style="2" customWidth="1"/>
    <col min="11788" max="11788" width="31.5703125" style="2" customWidth="1"/>
    <col min="11789" max="11789" width="17.7109375" style="2" customWidth="1"/>
    <col min="11790" max="11790" width="18.5703125" style="2" customWidth="1"/>
    <col min="11791" max="11791" width="21.7109375" style="2" customWidth="1"/>
    <col min="11792" max="11792" width="19.85546875" style="2" customWidth="1"/>
    <col min="11793" max="11793" width="34.140625" style="2" customWidth="1"/>
    <col min="11794" max="11794" width="17" style="2" customWidth="1"/>
    <col min="11795" max="11795" width="36.42578125" style="2" customWidth="1"/>
    <col min="11796" max="11796" width="26.5703125" style="2" customWidth="1"/>
    <col min="11797" max="11799" width="30.42578125" style="2" customWidth="1"/>
    <col min="11800" max="11849" width="0" style="2" hidden="1" customWidth="1"/>
    <col min="11850" max="12037" width="11.42578125" style="2"/>
    <col min="12038" max="12038" width="41.28515625" style="2" customWidth="1"/>
    <col min="12039" max="12040" width="40.42578125" style="2" customWidth="1"/>
    <col min="12041" max="12041" width="27" style="2" customWidth="1"/>
    <col min="12042" max="12042" width="19" style="2" customWidth="1"/>
    <col min="12043" max="12043" width="26.7109375" style="2" customWidth="1"/>
    <col min="12044" max="12044" width="31.5703125" style="2" customWidth="1"/>
    <col min="12045" max="12045" width="17.7109375" style="2" customWidth="1"/>
    <col min="12046" max="12046" width="18.5703125" style="2" customWidth="1"/>
    <col min="12047" max="12047" width="21.7109375" style="2" customWidth="1"/>
    <col min="12048" max="12048" width="19.85546875" style="2" customWidth="1"/>
    <col min="12049" max="12049" width="34.140625" style="2" customWidth="1"/>
    <col min="12050" max="12050" width="17" style="2" customWidth="1"/>
    <col min="12051" max="12051" width="36.42578125" style="2" customWidth="1"/>
    <col min="12052" max="12052" width="26.5703125" style="2" customWidth="1"/>
    <col min="12053" max="12055" width="30.42578125" style="2" customWidth="1"/>
    <col min="12056" max="12105" width="0" style="2" hidden="1" customWidth="1"/>
    <col min="12106" max="12293" width="11.42578125" style="2"/>
    <col min="12294" max="12294" width="41.28515625" style="2" customWidth="1"/>
    <col min="12295" max="12296" width="40.42578125" style="2" customWidth="1"/>
    <col min="12297" max="12297" width="27" style="2" customWidth="1"/>
    <col min="12298" max="12298" width="19" style="2" customWidth="1"/>
    <col min="12299" max="12299" width="26.7109375" style="2" customWidth="1"/>
    <col min="12300" max="12300" width="31.5703125" style="2" customWidth="1"/>
    <col min="12301" max="12301" width="17.7109375" style="2" customWidth="1"/>
    <col min="12302" max="12302" width="18.5703125" style="2" customWidth="1"/>
    <col min="12303" max="12303" width="21.7109375" style="2" customWidth="1"/>
    <col min="12304" max="12304" width="19.85546875" style="2" customWidth="1"/>
    <col min="12305" max="12305" width="34.140625" style="2" customWidth="1"/>
    <col min="12306" max="12306" width="17" style="2" customWidth="1"/>
    <col min="12307" max="12307" width="36.42578125" style="2" customWidth="1"/>
    <col min="12308" max="12308" width="26.5703125" style="2" customWidth="1"/>
    <col min="12309" max="12311" width="30.42578125" style="2" customWidth="1"/>
    <col min="12312" max="12361" width="0" style="2" hidden="1" customWidth="1"/>
    <col min="12362" max="12549" width="11.42578125" style="2"/>
    <col min="12550" max="12550" width="41.28515625" style="2" customWidth="1"/>
    <col min="12551" max="12552" width="40.42578125" style="2" customWidth="1"/>
    <col min="12553" max="12553" width="27" style="2" customWidth="1"/>
    <col min="12554" max="12554" width="19" style="2" customWidth="1"/>
    <col min="12555" max="12555" width="26.7109375" style="2" customWidth="1"/>
    <col min="12556" max="12556" width="31.5703125" style="2" customWidth="1"/>
    <col min="12557" max="12557" width="17.7109375" style="2" customWidth="1"/>
    <col min="12558" max="12558" width="18.5703125" style="2" customWidth="1"/>
    <col min="12559" max="12559" width="21.7109375" style="2" customWidth="1"/>
    <col min="12560" max="12560" width="19.85546875" style="2" customWidth="1"/>
    <col min="12561" max="12561" width="34.140625" style="2" customWidth="1"/>
    <col min="12562" max="12562" width="17" style="2" customWidth="1"/>
    <col min="12563" max="12563" width="36.42578125" style="2" customWidth="1"/>
    <col min="12564" max="12564" width="26.5703125" style="2" customWidth="1"/>
    <col min="12565" max="12567" width="30.42578125" style="2" customWidth="1"/>
    <col min="12568" max="12617" width="0" style="2" hidden="1" customWidth="1"/>
    <col min="12618" max="12805" width="11.42578125" style="2"/>
    <col min="12806" max="12806" width="41.28515625" style="2" customWidth="1"/>
    <col min="12807" max="12808" width="40.42578125" style="2" customWidth="1"/>
    <col min="12809" max="12809" width="27" style="2" customWidth="1"/>
    <col min="12810" max="12810" width="19" style="2" customWidth="1"/>
    <col min="12811" max="12811" width="26.7109375" style="2" customWidth="1"/>
    <col min="12812" max="12812" width="31.5703125" style="2" customWidth="1"/>
    <col min="12813" max="12813" width="17.7109375" style="2" customWidth="1"/>
    <col min="12814" max="12814" width="18.5703125" style="2" customWidth="1"/>
    <col min="12815" max="12815" width="21.7109375" style="2" customWidth="1"/>
    <col min="12816" max="12816" width="19.85546875" style="2" customWidth="1"/>
    <col min="12817" max="12817" width="34.140625" style="2" customWidth="1"/>
    <col min="12818" max="12818" width="17" style="2" customWidth="1"/>
    <col min="12819" max="12819" width="36.42578125" style="2" customWidth="1"/>
    <col min="12820" max="12820" width="26.5703125" style="2" customWidth="1"/>
    <col min="12821" max="12823" width="30.42578125" style="2" customWidth="1"/>
    <col min="12824" max="12873" width="0" style="2" hidden="1" customWidth="1"/>
    <col min="12874" max="13061" width="11.42578125" style="2"/>
    <col min="13062" max="13062" width="41.28515625" style="2" customWidth="1"/>
    <col min="13063" max="13064" width="40.42578125" style="2" customWidth="1"/>
    <col min="13065" max="13065" width="27" style="2" customWidth="1"/>
    <col min="13066" max="13066" width="19" style="2" customWidth="1"/>
    <col min="13067" max="13067" width="26.7109375" style="2" customWidth="1"/>
    <col min="13068" max="13068" width="31.5703125" style="2" customWidth="1"/>
    <col min="13069" max="13069" width="17.7109375" style="2" customWidth="1"/>
    <col min="13070" max="13070" width="18.5703125" style="2" customWidth="1"/>
    <col min="13071" max="13071" width="21.7109375" style="2" customWidth="1"/>
    <col min="13072" max="13072" width="19.85546875" style="2" customWidth="1"/>
    <col min="13073" max="13073" width="34.140625" style="2" customWidth="1"/>
    <col min="13074" max="13074" width="17" style="2" customWidth="1"/>
    <col min="13075" max="13075" width="36.42578125" style="2" customWidth="1"/>
    <col min="13076" max="13076" width="26.5703125" style="2" customWidth="1"/>
    <col min="13077" max="13079" width="30.42578125" style="2" customWidth="1"/>
    <col min="13080" max="13129" width="0" style="2" hidden="1" customWidth="1"/>
    <col min="13130" max="13317" width="11.42578125" style="2"/>
    <col min="13318" max="13318" width="41.28515625" style="2" customWidth="1"/>
    <col min="13319" max="13320" width="40.42578125" style="2" customWidth="1"/>
    <col min="13321" max="13321" width="27" style="2" customWidth="1"/>
    <col min="13322" max="13322" width="19" style="2" customWidth="1"/>
    <col min="13323" max="13323" width="26.7109375" style="2" customWidth="1"/>
    <col min="13324" max="13324" width="31.5703125" style="2" customWidth="1"/>
    <col min="13325" max="13325" width="17.7109375" style="2" customWidth="1"/>
    <col min="13326" max="13326" width="18.5703125" style="2" customWidth="1"/>
    <col min="13327" max="13327" width="21.7109375" style="2" customWidth="1"/>
    <col min="13328" max="13328" width="19.85546875" style="2" customWidth="1"/>
    <col min="13329" max="13329" width="34.140625" style="2" customWidth="1"/>
    <col min="13330" max="13330" width="17" style="2" customWidth="1"/>
    <col min="13331" max="13331" width="36.42578125" style="2" customWidth="1"/>
    <col min="13332" max="13332" width="26.5703125" style="2" customWidth="1"/>
    <col min="13333" max="13335" width="30.42578125" style="2" customWidth="1"/>
    <col min="13336" max="13385" width="0" style="2" hidden="1" customWidth="1"/>
    <col min="13386" max="13573" width="11.42578125" style="2"/>
    <col min="13574" max="13574" width="41.28515625" style="2" customWidth="1"/>
    <col min="13575" max="13576" width="40.42578125" style="2" customWidth="1"/>
    <col min="13577" max="13577" width="27" style="2" customWidth="1"/>
    <col min="13578" max="13578" width="19" style="2" customWidth="1"/>
    <col min="13579" max="13579" width="26.7109375" style="2" customWidth="1"/>
    <col min="13580" max="13580" width="31.5703125" style="2" customWidth="1"/>
    <col min="13581" max="13581" width="17.7109375" style="2" customWidth="1"/>
    <col min="13582" max="13582" width="18.5703125" style="2" customWidth="1"/>
    <col min="13583" max="13583" width="21.7109375" style="2" customWidth="1"/>
    <col min="13584" max="13584" width="19.85546875" style="2" customWidth="1"/>
    <col min="13585" max="13585" width="34.140625" style="2" customWidth="1"/>
    <col min="13586" max="13586" width="17" style="2" customWidth="1"/>
    <col min="13587" max="13587" width="36.42578125" style="2" customWidth="1"/>
    <col min="13588" max="13588" width="26.5703125" style="2" customWidth="1"/>
    <col min="13589" max="13591" width="30.42578125" style="2" customWidth="1"/>
    <col min="13592" max="13641" width="0" style="2" hidden="1" customWidth="1"/>
    <col min="13642" max="13829" width="11.42578125" style="2"/>
    <col min="13830" max="13830" width="41.28515625" style="2" customWidth="1"/>
    <col min="13831" max="13832" width="40.42578125" style="2" customWidth="1"/>
    <col min="13833" max="13833" width="27" style="2" customWidth="1"/>
    <col min="13834" max="13834" width="19" style="2" customWidth="1"/>
    <col min="13835" max="13835" width="26.7109375" style="2" customWidth="1"/>
    <col min="13836" max="13836" width="31.5703125" style="2" customWidth="1"/>
    <col min="13837" max="13837" width="17.7109375" style="2" customWidth="1"/>
    <col min="13838" max="13838" width="18.5703125" style="2" customWidth="1"/>
    <col min="13839" max="13839" width="21.7109375" style="2" customWidth="1"/>
    <col min="13840" max="13840" width="19.85546875" style="2" customWidth="1"/>
    <col min="13841" max="13841" width="34.140625" style="2" customWidth="1"/>
    <col min="13842" max="13842" width="17" style="2" customWidth="1"/>
    <col min="13843" max="13843" width="36.42578125" style="2" customWidth="1"/>
    <col min="13844" max="13844" width="26.5703125" style="2" customWidth="1"/>
    <col min="13845" max="13847" width="30.42578125" style="2" customWidth="1"/>
    <col min="13848" max="13897" width="0" style="2" hidden="1" customWidth="1"/>
    <col min="13898" max="14085" width="11.42578125" style="2"/>
    <col min="14086" max="14086" width="41.28515625" style="2" customWidth="1"/>
    <col min="14087" max="14088" width="40.42578125" style="2" customWidth="1"/>
    <col min="14089" max="14089" width="27" style="2" customWidth="1"/>
    <col min="14090" max="14090" width="19" style="2" customWidth="1"/>
    <col min="14091" max="14091" width="26.7109375" style="2" customWidth="1"/>
    <col min="14092" max="14092" width="31.5703125" style="2" customWidth="1"/>
    <col min="14093" max="14093" width="17.7109375" style="2" customWidth="1"/>
    <col min="14094" max="14094" width="18.5703125" style="2" customWidth="1"/>
    <col min="14095" max="14095" width="21.7109375" style="2" customWidth="1"/>
    <col min="14096" max="14096" width="19.85546875" style="2" customWidth="1"/>
    <col min="14097" max="14097" width="34.140625" style="2" customWidth="1"/>
    <col min="14098" max="14098" width="17" style="2" customWidth="1"/>
    <col min="14099" max="14099" width="36.42578125" style="2" customWidth="1"/>
    <col min="14100" max="14100" width="26.5703125" style="2" customWidth="1"/>
    <col min="14101" max="14103" width="30.42578125" style="2" customWidth="1"/>
    <col min="14104" max="14153" width="0" style="2" hidden="1" customWidth="1"/>
    <col min="14154" max="14341" width="11.42578125" style="2"/>
    <col min="14342" max="14342" width="41.28515625" style="2" customWidth="1"/>
    <col min="14343" max="14344" width="40.42578125" style="2" customWidth="1"/>
    <col min="14345" max="14345" width="27" style="2" customWidth="1"/>
    <col min="14346" max="14346" width="19" style="2" customWidth="1"/>
    <col min="14347" max="14347" width="26.7109375" style="2" customWidth="1"/>
    <col min="14348" max="14348" width="31.5703125" style="2" customWidth="1"/>
    <col min="14349" max="14349" width="17.7109375" style="2" customWidth="1"/>
    <col min="14350" max="14350" width="18.5703125" style="2" customWidth="1"/>
    <col min="14351" max="14351" width="21.7109375" style="2" customWidth="1"/>
    <col min="14352" max="14352" width="19.85546875" style="2" customWidth="1"/>
    <col min="14353" max="14353" width="34.140625" style="2" customWidth="1"/>
    <col min="14354" max="14354" width="17" style="2" customWidth="1"/>
    <col min="14355" max="14355" width="36.42578125" style="2" customWidth="1"/>
    <col min="14356" max="14356" width="26.5703125" style="2" customWidth="1"/>
    <col min="14357" max="14359" width="30.42578125" style="2" customWidth="1"/>
    <col min="14360" max="14409" width="0" style="2" hidden="1" customWidth="1"/>
    <col min="14410" max="14597" width="11.42578125" style="2"/>
    <col min="14598" max="14598" width="41.28515625" style="2" customWidth="1"/>
    <col min="14599" max="14600" width="40.42578125" style="2" customWidth="1"/>
    <col min="14601" max="14601" width="27" style="2" customWidth="1"/>
    <col min="14602" max="14602" width="19" style="2" customWidth="1"/>
    <col min="14603" max="14603" width="26.7109375" style="2" customWidth="1"/>
    <col min="14604" max="14604" width="31.5703125" style="2" customWidth="1"/>
    <col min="14605" max="14605" width="17.7109375" style="2" customWidth="1"/>
    <col min="14606" max="14606" width="18.5703125" style="2" customWidth="1"/>
    <col min="14607" max="14607" width="21.7109375" style="2" customWidth="1"/>
    <col min="14608" max="14608" width="19.85546875" style="2" customWidth="1"/>
    <col min="14609" max="14609" width="34.140625" style="2" customWidth="1"/>
    <col min="14610" max="14610" width="17" style="2" customWidth="1"/>
    <col min="14611" max="14611" width="36.42578125" style="2" customWidth="1"/>
    <col min="14612" max="14612" width="26.5703125" style="2" customWidth="1"/>
    <col min="14613" max="14615" width="30.42578125" style="2" customWidth="1"/>
    <col min="14616" max="14665" width="0" style="2" hidden="1" customWidth="1"/>
    <col min="14666" max="14853" width="11.42578125" style="2"/>
    <col min="14854" max="14854" width="41.28515625" style="2" customWidth="1"/>
    <col min="14855" max="14856" width="40.42578125" style="2" customWidth="1"/>
    <col min="14857" max="14857" width="27" style="2" customWidth="1"/>
    <col min="14858" max="14858" width="19" style="2" customWidth="1"/>
    <col min="14859" max="14859" width="26.7109375" style="2" customWidth="1"/>
    <col min="14860" max="14860" width="31.5703125" style="2" customWidth="1"/>
    <col min="14861" max="14861" width="17.7109375" style="2" customWidth="1"/>
    <col min="14862" max="14862" width="18.5703125" style="2" customWidth="1"/>
    <col min="14863" max="14863" width="21.7109375" style="2" customWidth="1"/>
    <col min="14864" max="14864" width="19.85546875" style="2" customWidth="1"/>
    <col min="14865" max="14865" width="34.140625" style="2" customWidth="1"/>
    <col min="14866" max="14866" width="17" style="2" customWidth="1"/>
    <col min="14867" max="14867" width="36.42578125" style="2" customWidth="1"/>
    <col min="14868" max="14868" width="26.5703125" style="2" customWidth="1"/>
    <col min="14869" max="14871" width="30.42578125" style="2" customWidth="1"/>
    <col min="14872" max="14921" width="0" style="2" hidden="1" customWidth="1"/>
    <col min="14922" max="15109" width="11.42578125" style="2"/>
    <col min="15110" max="15110" width="41.28515625" style="2" customWidth="1"/>
    <col min="15111" max="15112" width="40.42578125" style="2" customWidth="1"/>
    <col min="15113" max="15113" width="27" style="2" customWidth="1"/>
    <col min="15114" max="15114" width="19" style="2" customWidth="1"/>
    <col min="15115" max="15115" width="26.7109375" style="2" customWidth="1"/>
    <col min="15116" max="15116" width="31.5703125" style="2" customWidth="1"/>
    <col min="15117" max="15117" width="17.7109375" style="2" customWidth="1"/>
    <col min="15118" max="15118" width="18.5703125" style="2" customWidth="1"/>
    <col min="15119" max="15119" width="21.7109375" style="2" customWidth="1"/>
    <col min="15120" max="15120" width="19.85546875" style="2" customWidth="1"/>
    <col min="15121" max="15121" width="34.140625" style="2" customWidth="1"/>
    <col min="15122" max="15122" width="17" style="2" customWidth="1"/>
    <col min="15123" max="15123" width="36.42578125" style="2" customWidth="1"/>
    <col min="15124" max="15124" width="26.5703125" style="2" customWidth="1"/>
    <col min="15125" max="15127" width="30.42578125" style="2" customWidth="1"/>
    <col min="15128" max="15177" width="0" style="2" hidden="1" customWidth="1"/>
    <col min="15178" max="15365" width="11.42578125" style="2"/>
    <col min="15366" max="15366" width="41.28515625" style="2" customWidth="1"/>
    <col min="15367" max="15368" width="40.42578125" style="2" customWidth="1"/>
    <col min="15369" max="15369" width="27" style="2" customWidth="1"/>
    <col min="15370" max="15370" width="19" style="2" customWidth="1"/>
    <col min="15371" max="15371" width="26.7109375" style="2" customWidth="1"/>
    <col min="15372" max="15372" width="31.5703125" style="2" customWidth="1"/>
    <col min="15373" max="15373" width="17.7109375" style="2" customWidth="1"/>
    <col min="15374" max="15374" width="18.5703125" style="2" customWidth="1"/>
    <col min="15375" max="15375" width="21.7109375" style="2" customWidth="1"/>
    <col min="15376" max="15376" width="19.85546875" style="2" customWidth="1"/>
    <col min="15377" max="15377" width="34.140625" style="2" customWidth="1"/>
    <col min="15378" max="15378" width="17" style="2" customWidth="1"/>
    <col min="15379" max="15379" width="36.42578125" style="2" customWidth="1"/>
    <col min="15380" max="15380" width="26.5703125" style="2" customWidth="1"/>
    <col min="15381" max="15383" width="30.42578125" style="2" customWidth="1"/>
    <col min="15384" max="15433" width="0" style="2" hidden="1" customWidth="1"/>
    <col min="15434" max="15621" width="11.42578125" style="2"/>
    <col min="15622" max="15622" width="41.28515625" style="2" customWidth="1"/>
    <col min="15623" max="15624" width="40.42578125" style="2" customWidth="1"/>
    <col min="15625" max="15625" width="27" style="2" customWidth="1"/>
    <col min="15626" max="15626" width="19" style="2" customWidth="1"/>
    <col min="15627" max="15627" width="26.7109375" style="2" customWidth="1"/>
    <col min="15628" max="15628" width="31.5703125" style="2" customWidth="1"/>
    <col min="15629" max="15629" width="17.7109375" style="2" customWidth="1"/>
    <col min="15630" max="15630" width="18.5703125" style="2" customWidth="1"/>
    <col min="15631" max="15631" width="21.7109375" style="2" customWidth="1"/>
    <col min="15632" max="15632" width="19.85546875" style="2" customWidth="1"/>
    <col min="15633" max="15633" width="34.140625" style="2" customWidth="1"/>
    <col min="15634" max="15634" width="17" style="2" customWidth="1"/>
    <col min="15635" max="15635" width="36.42578125" style="2" customWidth="1"/>
    <col min="15636" max="15636" width="26.5703125" style="2" customWidth="1"/>
    <col min="15637" max="15639" width="30.42578125" style="2" customWidth="1"/>
    <col min="15640" max="15689" width="0" style="2" hidden="1" customWidth="1"/>
    <col min="15690" max="15877" width="11.42578125" style="2"/>
    <col min="15878" max="15878" width="41.28515625" style="2" customWidth="1"/>
    <col min="15879" max="15880" width="40.42578125" style="2" customWidth="1"/>
    <col min="15881" max="15881" width="27" style="2" customWidth="1"/>
    <col min="15882" max="15882" width="19" style="2" customWidth="1"/>
    <col min="15883" max="15883" width="26.7109375" style="2" customWidth="1"/>
    <col min="15884" max="15884" width="31.5703125" style="2" customWidth="1"/>
    <col min="15885" max="15885" width="17.7109375" style="2" customWidth="1"/>
    <col min="15886" max="15886" width="18.5703125" style="2" customWidth="1"/>
    <col min="15887" max="15887" width="21.7109375" style="2" customWidth="1"/>
    <col min="15888" max="15888" width="19.85546875" style="2" customWidth="1"/>
    <col min="15889" max="15889" width="34.140625" style="2" customWidth="1"/>
    <col min="15890" max="15890" width="17" style="2" customWidth="1"/>
    <col min="15891" max="15891" width="36.42578125" style="2" customWidth="1"/>
    <col min="15892" max="15892" width="26.5703125" style="2" customWidth="1"/>
    <col min="15893" max="15895" width="30.42578125" style="2" customWidth="1"/>
    <col min="15896" max="15945" width="0" style="2" hidden="1" customWidth="1"/>
    <col min="15946" max="16133" width="11.42578125" style="2"/>
    <col min="16134" max="16134" width="41.28515625" style="2" customWidth="1"/>
    <col min="16135" max="16136" width="40.42578125" style="2" customWidth="1"/>
    <col min="16137" max="16137" width="27" style="2" customWidth="1"/>
    <col min="16138" max="16138" width="19" style="2" customWidth="1"/>
    <col min="16139" max="16139" width="26.7109375" style="2" customWidth="1"/>
    <col min="16140" max="16140" width="31.5703125" style="2" customWidth="1"/>
    <col min="16141" max="16141" width="17.7109375" style="2" customWidth="1"/>
    <col min="16142" max="16142" width="18.5703125" style="2" customWidth="1"/>
    <col min="16143" max="16143" width="21.7109375" style="2" customWidth="1"/>
    <col min="16144" max="16144" width="19.85546875" style="2" customWidth="1"/>
    <col min="16145" max="16145" width="34.140625" style="2" customWidth="1"/>
    <col min="16146" max="16146" width="17" style="2" customWidth="1"/>
    <col min="16147" max="16147" width="36.42578125" style="2" customWidth="1"/>
    <col min="16148" max="16148" width="26.5703125" style="2" customWidth="1"/>
    <col min="16149" max="16151" width="30.42578125" style="2" customWidth="1"/>
    <col min="16152" max="16201" width="0" style="2" hidden="1" customWidth="1"/>
    <col min="16202" max="16384" width="11.42578125" style="2"/>
  </cols>
  <sheetData>
    <row r="1" spans="1:72" ht="21" customHeight="1" x14ac:dyDescent="0.25">
      <c r="A1" s="573"/>
      <c r="B1" s="573"/>
      <c r="C1" s="573"/>
      <c r="D1" s="573"/>
      <c r="E1" s="72"/>
      <c r="F1" s="574" t="s">
        <v>0</v>
      </c>
      <c r="G1" s="575"/>
      <c r="H1" s="575"/>
      <c r="I1" s="575"/>
      <c r="J1" s="575"/>
      <c r="K1" s="575"/>
      <c r="L1" s="575"/>
      <c r="M1" s="575"/>
      <c r="N1" s="575"/>
      <c r="O1" s="575"/>
      <c r="P1" s="575"/>
      <c r="Q1" s="575"/>
      <c r="R1" s="575"/>
      <c r="S1" s="575"/>
      <c r="T1" s="576"/>
      <c r="U1" s="583" t="s">
        <v>223</v>
      </c>
      <c r="V1" s="584"/>
      <c r="W1" s="1"/>
      <c r="X1" s="1"/>
    </row>
    <row r="2" spans="1:72" ht="22.5" customHeight="1" x14ac:dyDescent="0.25">
      <c r="A2" s="573"/>
      <c r="B2" s="573"/>
      <c r="C2" s="573"/>
      <c r="D2" s="573"/>
      <c r="E2" s="73"/>
      <c r="F2" s="577"/>
      <c r="G2" s="578"/>
      <c r="H2" s="578"/>
      <c r="I2" s="578"/>
      <c r="J2" s="578"/>
      <c r="K2" s="578"/>
      <c r="L2" s="578"/>
      <c r="M2" s="578"/>
      <c r="N2" s="578"/>
      <c r="O2" s="578"/>
      <c r="P2" s="578"/>
      <c r="Q2" s="578"/>
      <c r="R2" s="578"/>
      <c r="S2" s="578"/>
      <c r="T2" s="579"/>
      <c r="U2" s="583" t="s">
        <v>149</v>
      </c>
      <c r="V2" s="584"/>
      <c r="W2" s="1"/>
      <c r="X2" s="1"/>
    </row>
    <row r="3" spans="1:72" ht="21" customHeight="1" x14ac:dyDescent="0.25">
      <c r="A3" s="573"/>
      <c r="B3" s="573"/>
      <c r="C3" s="573"/>
      <c r="D3" s="573"/>
      <c r="E3" s="73"/>
      <c r="F3" s="577"/>
      <c r="G3" s="578"/>
      <c r="H3" s="578"/>
      <c r="I3" s="578"/>
      <c r="J3" s="578"/>
      <c r="K3" s="578"/>
      <c r="L3" s="578"/>
      <c r="M3" s="578"/>
      <c r="N3" s="578"/>
      <c r="O3" s="578"/>
      <c r="P3" s="578"/>
      <c r="Q3" s="578"/>
      <c r="R3" s="578"/>
      <c r="S3" s="578"/>
      <c r="T3" s="579"/>
      <c r="U3" s="583" t="s">
        <v>150</v>
      </c>
      <c r="V3" s="584"/>
      <c r="W3" s="1"/>
      <c r="X3" s="1"/>
    </row>
    <row r="4" spans="1:72" ht="20.25" customHeight="1" x14ac:dyDescent="0.25">
      <c r="A4" s="573"/>
      <c r="B4" s="573"/>
      <c r="C4" s="573"/>
      <c r="D4" s="573"/>
      <c r="E4" s="74"/>
      <c r="F4" s="580"/>
      <c r="G4" s="581"/>
      <c r="H4" s="581"/>
      <c r="I4" s="581"/>
      <c r="J4" s="581"/>
      <c r="K4" s="581"/>
      <c r="L4" s="581"/>
      <c r="M4" s="581"/>
      <c r="N4" s="581"/>
      <c r="O4" s="581"/>
      <c r="P4" s="581"/>
      <c r="Q4" s="581"/>
      <c r="R4" s="581"/>
      <c r="S4" s="581"/>
      <c r="T4" s="582"/>
      <c r="U4" s="583" t="s">
        <v>1</v>
      </c>
      <c r="V4" s="584"/>
      <c r="W4" s="1"/>
      <c r="X4" s="1"/>
    </row>
    <row r="5" spans="1:72" ht="8.25" customHeight="1" x14ac:dyDescent="0.25">
      <c r="B5" s="3"/>
      <c r="C5" s="116"/>
      <c r="D5" s="3"/>
      <c r="E5" s="116"/>
      <c r="F5" s="4"/>
      <c r="G5" s="117"/>
      <c r="H5" s="4"/>
      <c r="I5" s="117"/>
      <c r="J5" s="4"/>
      <c r="K5" s="4"/>
      <c r="L5" s="4"/>
      <c r="M5" s="4"/>
      <c r="N5" s="4"/>
      <c r="O5" s="117"/>
      <c r="P5" s="4"/>
      <c r="Q5" s="4"/>
      <c r="W5" s="6"/>
      <c r="X5" s="6"/>
    </row>
    <row r="6" spans="1:72" ht="15" x14ac:dyDescent="0.25">
      <c r="A6" s="553" t="s">
        <v>2</v>
      </c>
      <c r="B6" s="553"/>
      <c r="C6" s="553"/>
      <c r="D6" s="553"/>
      <c r="E6" s="75"/>
      <c r="F6" s="567" t="str">
        <f>[23]IdentRiesgo!B2</f>
        <v>Gestión del Mejoramiento Continuo</v>
      </c>
      <c r="G6" s="568"/>
      <c r="H6" s="568"/>
      <c r="I6" s="568"/>
      <c r="J6" s="568"/>
      <c r="K6" s="568"/>
      <c r="L6" s="568"/>
      <c r="M6" s="568"/>
      <c r="N6" s="568"/>
      <c r="O6" s="568"/>
      <c r="P6" s="568"/>
      <c r="Q6" s="568"/>
      <c r="R6" s="568"/>
      <c r="S6" s="568"/>
      <c r="T6" s="568"/>
      <c r="U6" s="568"/>
      <c r="V6" s="569"/>
      <c r="W6" s="6"/>
      <c r="X6" s="6"/>
    </row>
    <row r="7" spans="1:72" ht="6.75" customHeight="1" x14ac:dyDescent="0.25">
      <c r="B7" s="3"/>
      <c r="C7" s="116"/>
      <c r="D7" s="3"/>
      <c r="E7" s="116"/>
      <c r="F7" s="7"/>
      <c r="G7" s="121"/>
      <c r="H7" s="7"/>
      <c r="I7" s="121"/>
      <c r="J7" s="7"/>
      <c r="K7" s="7"/>
      <c r="L7" s="7"/>
      <c r="M7" s="7"/>
      <c r="N7" s="7"/>
      <c r="O7" s="121"/>
      <c r="P7" s="7"/>
      <c r="Q7" s="7"/>
      <c r="R7" s="8"/>
      <c r="S7" s="8"/>
      <c r="T7" s="8"/>
      <c r="U7" s="8"/>
      <c r="V7" s="8"/>
      <c r="W7" s="6"/>
      <c r="X7" s="6"/>
    </row>
    <row r="8" spans="1:72" ht="39.75" customHeight="1" x14ac:dyDescent="0.25">
      <c r="A8" s="553" t="s">
        <v>3</v>
      </c>
      <c r="B8" s="553"/>
      <c r="C8" s="553"/>
      <c r="D8" s="553"/>
      <c r="E8" s="75"/>
      <c r="F8" s="570" t="str">
        <f>[23]IdentRiesgo!B3</f>
        <v xml:space="preserve">Evaluar de forma autónoma, objetiva e independiente el funcionamiento del Sistema Integrado de Gestión del IDEAM para el cumplimiento de  los objetivos y metas, a través de la realización de auditorías, seguimientos y verificaciones a las diferentes áreas, procesos, planes y/o proyectos, formulando recomendaciones para contribuir al mejoramiento continuo y al fortalecimiento institucional </v>
      </c>
      <c r="G8" s="571"/>
      <c r="H8" s="571"/>
      <c r="I8" s="571"/>
      <c r="J8" s="571"/>
      <c r="K8" s="571"/>
      <c r="L8" s="571"/>
      <c r="M8" s="571"/>
      <c r="N8" s="571"/>
      <c r="O8" s="571"/>
      <c r="P8" s="571"/>
      <c r="Q8" s="571"/>
      <c r="R8" s="571"/>
      <c r="S8" s="571"/>
      <c r="T8" s="571"/>
      <c r="U8" s="571"/>
      <c r="V8" s="572"/>
      <c r="W8" s="9"/>
      <c r="X8" s="9"/>
    </row>
    <row r="9" spans="1:72" ht="6.75" customHeight="1" x14ac:dyDescent="0.25">
      <c r="B9" s="10"/>
      <c r="C9" s="119"/>
      <c r="D9" s="10"/>
      <c r="E9" s="119"/>
      <c r="F9" s="11"/>
      <c r="G9" s="122"/>
      <c r="H9" s="11"/>
      <c r="I9" s="122"/>
      <c r="J9" s="11"/>
      <c r="K9" s="11"/>
      <c r="L9" s="11"/>
      <c r="M9" s="11"/>
      <c r="N9" s="11"/>
      <c r="O9" s="122"/>
      <c r="P9" s="11"/>
      <c r="Q9" s="11"/>
      <c r="R9" s="8"/>
      <c r="S9" s="8"/>
      <c r="T9" s="8"/>
      <c r="U9" s="8"/>
      <c r="V9" s="8"/>
      <c r="W9" s="6"/>
      <c r="X9" s="6"/>
    </row>
    <row r="10" spans="1:72" ht="15" x14ac:dyDescent="0.25">
      <c r="A10" s="553" t="s">
        <v>4</v>
      </c>
      <c r="B10" s="553"/>
      <c r="C10" s="553"/>
      <c r="D10" s="553"/>
      <c r="E10" s="75"/>
      <c r="F10" s="554" t="s">
        <v>60</v>
      </c>
      <c r="G10" s="555"/>
      <c r="H10" s="555"/>
      <c r="I10" s="555"/>
      <c r="J10" s="555"/>
      <c r="K10" s="555"/>
      <c r="L10" s="555"/>
      <c r="M10" s="555"/>
      <c r="N10" s="555"/>
      <c r="O10" s="555"/>
      <c r="P10" s="555"/>
      <c r="Q10" s="555"/>
      <c r="R10" s="555"/>
      <c r="S10" s="555"/>
      <c r="T10" s="555"/>
      <c r="U10" s="555"/>
      <c r="V10" s="556"/>
      <c r="W10" s="12"/>
      <c r="X10" s="12"/>
    </row>
    <row r="11" spans="1:72" ht="5.25" customHeight="1" x14ac:dyDescent="0.25">
      <c r="B11" s="3"/>
      <c r="C11" s="116"/>
      <c r="D11" s="3"/>
      <c r="E11" s="116"/>
      <c r="F11" s="13"/>
      <c r="G11" s="141"/>
      <c r="H11" s="13"/>
      <c r="I11" s="141"/>
      <c r="J11" s="13"/>
      <c r="K11" s="13"/>
      <c r="L11" s="13"/>
      <c r="M11" s="13"/>
      <c r="N11" s="13"/>
      <c r="O11" s="141"/>
      <c r="P11" s="13"/>
      <c r="Q11" s="13"/>
      <c r="R11" s="8"/>
      <c r="S11" s="8"/>
      <c r="T11" s="8"/>
      <c r="U11" s="8"/>
      <c r="V11" s="8"/>
      <c r="W11" s="6"/>
      <c r="X11" s="6"/>
    </row>
    <row r="12" spans="1:72" ht="15" x14ac:dyDescent="0.25">
      <c r="A12" s="553" t="s">
        <v>5</v>
      </c>
      <c r="B12" s="553"/>
      <c r="C12" s="553"/>
      <c r="D12" s="553"/>
      <c r="E12" s="75"/>
      <c r="F12" s="554" t="s">
        <v>300</v>
      </c>
      <c r="G12" s="555"/>
      <c r="H12" s="555"/>
      <c r="I12" s="555"/>
      <c r="J12" s="555"/>
      <c r="K12" s="555"/>
      <c r="L12" s="555"/>
      <c r="M12" s="555"/>
      <c r="N12" s="555"/>
      <c r="O12" s="555"/>
      <c r="P12" s="555"/>
      <c r="Q12" s="555"/>
      <c r="R12" s="555"/>
      <c r="S12" s="555"/>
      <c r="T12" s="555"/>
      <c r="U12" s="555"/>
      <c r="V12" s="555"/>
      <c r="W12" s="556"/>
      <c r="X12" s="12"/>
      <c r="AA12" s="2" t="s">
        <v>6</v>
      </c>
    </row>
    <row r="13" spans="1:72" ht="15.75" thickBot="1" x14ac:dyDescent="0.3">
      <c r="B13" s="3"/>
      <c r="C13" s="116"/>
      <c r="D13" s="3"/>
      <c r="E13" s="116"/>
      <c r="F13" s="14"/>
      <c r="G13" s="123"/>
      <c r="H13" s="15"/>
      <c r="I13" s="120"/>
      <c r="J13" s="15"/>
      <c r="K13" s="7"/>
      <c r="L13" s="15"/>
      <c r="M13" s="7"/>
      <c r="N13" s="7"/>
      <c r="O13" s="121"/>
      <c r="P13" s="7"/>
      <c r="Q13" s="7"/>
      <c r="R13" s="7"/>
      <c r="S13" s="15"/>
      <c r="T13" s="7"/>
      <c r="W13" s="6"/>
      <c r="X13" s="6"/>
      <c r="AA13" s="2" t="s">
        <v>7</v>
      </c>
      <c r="AG13" s="557" t="s">
        <v>8</v>
      </c>
      <c r="AH13" s="557"/>
      <c r="AI13" s="557"/>
      <c r="AJ13" s="557"/>
      <c r="AK13" s="557"/>
      <c r="AL13" s="557"/>
      <c r="AM13" s="557"/>
      <c r="AN13" s="557"/>
      <c r="AO13" s="557"/>
      <c r="AP13" s="557"/>
      <c r="AQ13" s="557"/>
      <c r="AR13" s="557"/>
      <c r="AS13" s="557"/>
      <c r="AT13" s="557"/>
      <c r="AU13" s="557"/>
      <c r="AV13" s="557"/>
      <c r="AW13" s="557"/>
      <c r="AX13" s="557"/>
      <c r="AY13" s="557"/>
      <c r="BA13" s="557" t="s">
        <v>9</v>
      </c>
      <c r="BB13" s="557"/>
      <c r="BC13" s="557"/>
      <c r="BD13" s="557"/>
      <c r="BE13" s="557"/>
      <c r="BF13" s="557"/>
      <c r="BG13" s="557"/>
      <c r="BH13" s="557"/>
      <c r="BI13" s="557"/>
      <c r="BJ13" s="557"/>
      <c r="BK13" s="557"/>
      <c r="BL13" s="557"/>
      <c r="BM13" s="557"/>
      <c r="BN13" s="557"/>
      <c r="BO13" s="557"/>
      <c r="BP13" s="557"/>
      <c r="BQ13" s="557"/>
      <c r="BR13" s="557"/>
      <c r="BS13" s="557"/>
      <c r="BT13" s="557"/>
    </row>
    <row r="14" spans="1:72" s="17" customFormat="1" ht="15" customHeight="1" x14ac:dyDescent="0.25">
      <c r="A14" s="558" t="s">
        <v>10</v>
      </c>
      <c r="B14" s="559"/>
      <c r="C14" s="559"/>
      <c r="D14" s="560"/>
      <c r="E14" s="76"/>
      <c r="F14" s="561" t="s">
        <v>11</v>
      </c>
      <c r="G14" s="561"/>
      <c r="H14" s="561"/>
      <c r="I14" s="136"/>
      <c r="J14" s="16"/>
      <c r="K14" s="562" t="s">
        <v>12</v>
      </c>
      <c r="L14" s="558" t="s">
        <v>13</v>
      </c>
      <c r="M14" s="559"/>
      <c r="N14" s="560"/>
      <c r="O14" s="297"/>
      <c r="P14" s="565" t="s">
        <v>14</v>
      </c>
      <c r="Q14" s="565"/>
      <c r="R14" s="565"/>
      <c r="S14" s="565" t="s">
        <v>15</v>
      </c>
      <c r="T14" s="565"/>
      <c r="U14" s="565"/>
      <c r="V14" s="565"/>
    </row>
    <row r="15" spans="1:72" s="17" customFormat="1" ht="14.25" customHeight="1" x14ac:dyDescent="0.25">
      <c r="A15" s="563" t="s">
        <v>16</v>
      </c>
      <c r="B15" s="563" t="s">
        <v>17</v>
      </c>
      <c r="C15" s="298"/>
      <c r="D15" s="563" t="s">
        <v>18</v>
      </c>
      <c r="E15" s="298"/>
      <c r="F15" s="543" t="s">
        <v>19</v>
      </c>
      <c r="G15" s="543"/>
      <c r="H15" s="543"/>
      <c r="I15" s="294"/>
      <c r="J15" s="18"/>
      <c r="K15" s="563"/>
      <c r="L15" s="548" t="s">
        <v>20</v>
      </c>
      <c r="M15" s="549"/>
      <c r="N15" s="550"/>
      <c r="O15" s="296"/>
      <c r="P15" s="548" t="s">
        <v>21</v>
      </c>
      <c r="Q15" s="549"/>
      <c r="R15" s="550"/>
      <c r="S15" s="543" t="s">
        <v>22</v>
      </c>
      <c r="T15" s="543" t="s">
        <v>23</v>
      </c>
      <c r="U15" s="543" t="s">
        <v>4</v>
      </c>
      <c r="V15" s="543" t="s">
        <v>24</v>
      </c>
    </row>
    <row r="16" spans="1:72" s="17" customFormat="1" ht="63" customHeight="1" x14ac:dyDescent="0.25">
      <c r="A16" s="566"/>
      <c r="B16" s="566"/>
      <c r="C16" s="299" t="s">
        <v>70</v>
      </c>
      <c r="D16" s="566"/>
      <c r="E16" s="299" t="s">
        <v>71</v>
      </c>
      <c r="F16" s="18" t="s">
        <v>25</v>
      </c>
      <c r="G16" s="294" t="s">
        <v>70</v>
      </c>
      <c r="H16" s="18" t="s">
        <v>9</v>
      </c>
      <c r="I16" s="294" t="s">
        <v>70</v>
      </c>
      <c r="J16" s="18" t="s">
        <v>26</v>
      </c>
      <c r="K16" s="564"/>
      <c r="L16" s="19" t="s">
        <v>25</v>
      </c>
      <c r="M16" s="19" t="s">
        <v>9</v>
      </c>
      <c r="N16" s="20" t="s">
        <v>26</v>
      </c>
      <c r="O16" s="299" t="s">
        <v>74</v>
      </c>
      <c r="P16" s="18" t="s">
        <v>27</v>
      </c>
      <c r="Q16" s="18" t="s">
        <v>23</v>
      </c>
      <c r="R16" s="18" t="s">
        <v>28</v>
      </c>
      <c r="S16" s="543"/>
      <c r="T16" s="543"/>
      <c r="U16" s="543"/>
      <c r="V16" s="543"/>
    </row>
    <row r="17" spans="1:74" s="115" customFormat="1" ht="409.5" customHeight="1" x14ac:dyDescent="0.25">
      <c r="A17" s="309" t="s">
        <v>170</v>
      </c>
      <c r="B17" s="302" t="s">
        <v>171</v>
      </c>
      <c r="C17" s="302" t="s">
        <v>172</v>
      </c>
      <c r="D17" s="302" t="s">
        <v>173</v>
      </c>
      <c r="E17" s="302" t="s">
        <v>81</v>
      </c>
      <c r="F17" s="303">
        <v>3</v>
      </c>
      <c r="G17" s="303" t="s">
        <v>76</v>
      </c>
      <c r="H17" s="304">
        <v>10</v>
      </c>
      <c r="I17" s="304" t="s">
        <v>77</v>
      </c>
      <c r="J17" s="305" t="s">
        <v>42</v>
      </c>
      <c r="K17" s="307" t="s">
        <v>174</v>
      </c>
      <c r="L17" s="629" t="s">
        <v>25</v>
      </c>
      <c r="M17" s="629"/>
      <c r="N17" s="305" t="s">
        <v>40</v>
      </c>
      <c r="O17" s="301" t="s">
        <v>168</v>
      </c>
      <c r="P17" s="307" t="s">
        <v>169</v>
      </c>
      <c r="Q17" s="358" t="s">
        <v>175</v>
      </c>
      <c r="R17" s="307" t="s">
        <v>176</v>
      </c>
      <c r="S17" s="449"/>
      <c r="T17" s="502"/>
      <c r="U17" s="427" t="s">
        <v>220</v>
      </c>
      <c r="V17" s="461" t="s">
        <v>236</v>
      </c>
      <c r="X17" s="6"/>
      <c r="Y17" s="6"/>
      <c r="Z17" s="6"/>
      <c r="AA17" s="6"/>
      <c r="AB17" s="6"/>
      <c r="AE17" s="6"/>
      <c r="AF17" s="6"/>
      <c r="AG17" s="6"/>
      <c r="AH17" s="6"/>
      <c r="AI17" s="6"/>
      <c r="AK17" s="6"/>
      <c r="AL17" s="6"/>
      <c r="AM17" s="6"/>
      <c r="AN17" s="6"/>
      <c r="AO17" s="6"/>
      <c r="AR17" s="6"/>
      <c r="AS17" s="6"/>
      <c r="AT17" s="6"/>
      <c r="AU17" s="6"/>
      <c r="AV17" s="6"/>
      <c r="AZ17" s="6"/>
      <c r="BA17" s="6"/>
      <c r="BB17" s="6"/>
      <c r="BC17" s="6"/>
      <c r="BD17" s="6"/>
      <c r="BG17" s="6"/>
      <c r="BH17" s="6"/>
      <c r="BI17" s="6"/>
      <c r="BJ17" s="6"/>
      <c r="BK17" s="6"/>
      <c r="BN17" s="6"/>
      <c r="BO17" s="6"/>
      <c r="BP17" s="6"/>
      <c r="BQ17" s="6"/>
      <c r="BR17" s="6"/>
    </row>
    <row r="18" spans="1:74" ht="96.75" customHeight="1" x14ac:dyDescent="0.25">
      <c r="A18" s="627" t="s">
        <v>177</v>
      </c>
      <c r="B18" s="627" t="s">
        <v>178</v>
      </c>
      <c r="C18" s="627" t="s">
        <v>179</v>
      </c>
      <c r="D18" s="627" t="s">
        <v>180</v>
      </c>
      <c r="E18" s="627" t="s">
        <v>81</v>
      </c>
      <c r="F18" s="627">
        <v>2</v>
      </c>
      <c r="G18" s="627" t="s">
        <v>88</v>
      </c>
      <c r="H18" s="627">
        <v>10</v>
      </c>
      <c r="I18" s="627" t="s">
        <v>77</v>
      </c>
      <c r="J18" s="627" t="s">
        <v>40</v>
      </c>
      <c r="K18" s="627" t="s">
        <v>181</v>
      </c>
      <c r="L18" s="627" t="s">
        <v>25</v>
      </c>
      <c r="M18" s="627"/>
      <c r="N18" s="636" t="s">
        <v>40</v>
      </c>
      <c r="O18" s="638" t="s">
        <v>168</v>
      </c>
      <c r="P18" s="640" t="s">
        <v>169</v>
      </c>
      <c r="Q18" s="640" t="s">
        <v>182</v>
      </c>
      <c r="R18" s="630" t="s">
        <v>183</v>
      </c>
      <c r="S18" s="631"/>
      <c r="T18" s="632"/>
      <c r="U18" s="634" t="s">
        <v>220</v>
      </c>
      <c r="V18" s="625"/>
      <c r="W18" s="625"/>
      <c r="BV18" s="625"/>
    </row>
    <row r="19" spans="1:74" ht="330" customHeight="1" x14ac:dyDescent="0.25">
      <c r="A19" s="628"/>
      <c r="B19" s="628"/>
      <c r="C19" s="628"/>
      <c r="D19" s="628"/>
      <c r="E19" s="628"/>
      <c r="F19" s="628"/>
      <c r="G19" s="628"/>
      <c r="H19" s="628"/>
      <c r="I19" s="628"/>
      <c r="J19" s="628"/>
      <c r="K19" s="628"/>
      <c r="L19" s="628"/>
      <c r="M19" s="628"/>
      <c r="N19" s="637"/>
      <c r="O19" s="639"/>
      <c r="P19" s="641"/>
      <c r="Q19" s="641"/>
      <c r="R19" s="630"/>
      <c r="S19" s="631"/>
      <c r="T19" s="633"/>
      <c r="U19" s="635"/>
      <c r="V19" s="626"/>
      <c r="W19" s="626"/>
      <c r="BV19" s="626"/>
    </row>
    <row r="20" spans="1:74" ht="14.25" customHeight="1" x14ac:dyDescent="0.25">
      <c r="A20" s="5"/>
      <c r="B20" s="32" t="s">
        <v>33</v>
      </c>
      <c r="C20" s="127"/>
      <c r="D20" s="32"/>
      <c r="E20" s="127"/>
      <c r="L20" s="2"/>
      <c r="Q20" s="5"/>
      <c r="S20" s="2"/>
    </row>
    <row r="21" spans="1:74" ht="59.25" customHeight="1" thickBot="1" x14ac:dyDescent="0.3">
      <c r="B21" s="5" t="s">
        <v>37</v>
      </c>
      <c r="C21" s="118"/>
      <c r="F21" s="612" t="s">
        <v>25</v>
      </c>
      <c r="G21" s="77"/>
      <c r="H21" s="613" t="s">
        <v>9</v>
      </c>
      <c r="I21" s="613"/>
      <c r="J21" s="613"/>
      <c r="K21" s="620"/>
      <c r="L21" s="2"/>
      <c r="Q21" s="5"/>
      <c r="S21" s="2"/>
    </row>
    <row r="22" spans="1:74" ht="59.25" customHeight="1" thickBot="1" x14ac:dyDescent="0.3">
      <c r="F22" s="545"/>
      <c r="G22" s="295"/>
      <c r="H22" s="33" t="s">
        <v>34</v>
      </c>
      <c r="I22" s="128"/>
      <c r="J22" s="34" t="s">
        <v>35</v>
      </c>
      <c r="K22" s="33" t="s">
        <v>36</v>
      </c>
      <c r="L22" s="2"/>
      <c r="Q22" s="5"/>
      <c r="S22" s="2"/>
    </row>
    <row r="23" spans="1:74" ht="59.25" customHeight="1" thickBot="1" x14ac:dyDescent="0.3">
      <c r="F23" s="35" t="s">
        <v>38</v>
      </c>
      <c r="G23" s="129"/>
      <c r="H23" s="36" t="s">
        <v>39</v>
      </c>
      <c r="I23" s="130"/>
      <c r="J23" s="36" t="s">
        <v>39</v>
      </c>
      <c r="K23" s="37" t="s">
        <v>40</v>
      </c>
      <c r="L23" s="2"/>
      <c r="Q23" s="5"/>
      <c r="S23" s="2"/>
    </row>
    <row r="24" spans="1:74" ht="59.25" customHeight="1" thickBot="1" x14ac:dyDescent="0.3">
      <c r="F24" s="35" t="s">
        <v>41</v>
      </c>
      <c r="G24" s="129"/>
      <c r="H24" s="36" t="s">
        <v>39</v>
      </c>
      <c r="I24" s="130"/>
      <c r="J24" s="37" t="s">
        <v>40</v>
      </c>
      <c r="K24" s="38" t="s">
        <v>42</v>
      </c>
      <c r="L24" s="2"/>
      <c r="Q24" s="5"/>
      <c r="S24" s="2"/>
    </row>
    <row r="25" spans="1:74" ht="59.25" customHeight="1" thickBot="1" x14ac:dyDescent="0.3">
      <c r="F25" s="35" t="s">
        <v>43</v>
      </c>
      <c r="G25" s="129"/>
      <c r="H25" s="37" t="s">
        <v>40</v>
      </c>
      <c r="I25" s="131"/>
      <c r="J25" s="38" t="s">
        <v>42</v>
      </c>
      <c r="K25" s="39" t="s">
        <v>44</v>
      </c>
      <c r="L25" s="2"/>
      <c r="Q25" s="5"/>
      <c r="S25" s="2"/>
    </row>
    <row r="26" spans="1:74" ht="59.25" customHeight="1" thickBot="1" x14ac:dyDescent="0.3">
      <c r="F26" s="35" t="s">
        <v>45</v>
      </c>
      <c r="G26" s="129"/>
      <c r="H26" s="37" t="s">
        <v>40</v>
      </c>
      <c r="I26" s="131"/>
      <c r="J26" s="38" t="s">
        <v>42</v>
      </c>
      <c r="K26" s="39" t="s">
        <v>44</v>
      </c>
      <c r="M26" s="5"/>
    </row>
    <row r="27" spans="1:74" ht="59.25" customHeight="1" thickBot="1" x14ac:dyDescent="0.3">
      <c r="F27" s="35" t="s">
        <v>46</v>
      </c>
      <c r="G27" s="129"/>
      <c r="H27" s="37" t="s">
        <v>40</v>
      </c>
      <c r="I27" s="131"/>
      <c r="J27" s="38" t="s">
        <v>42</v>
      </c>
      <c r="K27" s="39" t="s">
        <v>44</v>
      </c>
      <c r="M27" s="5"/>
      <c r="N27" s="5"/>
      <c r="O27" s="118"/>
      <c r="P27" s="5"/>
    </row>
    <row r="28" spans="1:74" ht="26.25" customHeight="1" x14ac:dyDescent="0.25">
      <c r="F28" s="2"/>
      <c r="G28" s="115"/>
      <c r="H28" s="2"/>
      <c r="I28" s="115"/>
      <c r="J28" s="2"/>
      <c r="K28" s="5"/>
      <c r="M28" s="5"/>
      <c r="N28" s="5"/>
      <c r="O28" s="118"/>
      <c r="P28" s="5"/>
    </row>
    <row r="29" spans="1:74" ht="28.5" customHeight="1" x14ac:dyDescent="0.25">
      <c r="F29" s="40" t="s">
        <v>47</v>
      </c>
      <c r="G29" s="132"/>
      <c r="H29" s="2"/>
      <c r="I29" s="115"/>
      <c r="J29" s="2"/>
      <c r="K29" s="5"/>
      <c r="M29" s="5"/>
      <c r="N29" s="5"/>
      <c r="O29" s="118"/>
      <c r="P29" s="5"/>
    </row>
    <row r="30" spans="1:74" ht="31.5" customHeight="1" x14ac:dyDescent="0.25">
      <c r="F30" s="41" t="s">
        <v>48</v>
      </c>
      <c r="G30" s="133"/>
      <c r="H30" s="2"/>
      <c r="I30" s="115"/>
      <c r="J30" s="2"/>
      <c r="K30" s="5"/>
      <c r="M30" s="5"/>
      <c r="N30" s="5"/>
      <c r="O30" s="118"/>
      <c r="P30" s="5"/>
    </row>
    <row r="31" spans="1:74" ht="36" customHeight="1" x14ac:dyDescent="0.25">
      <c r="F31" s="42" t="s">
        <v>49</v>
      </c>
      <c r="G31" s="134"/>
      <c r="H31" s="2"/>
      <c r="I31" s="115"/>
      <c r="J31" s="2"/>
      <c r="K31" s="5"/>
    </row>
    <row r="32" spans="1:74" ht="24" customHeight="1" x14ac:dyDescent="0.25">
      <c r="F32" s="43" t="s">
        <v>50</v>
      </c>
      <c r="G32" s="135"/>
      <c r="H32" s="2"/>
      <c r="I32" s="115"/>
      <c r="J32" s="2"/>
      <c r="K32" s="5"/>
    </row>
    <row r="38" spans="6:22" ht="59.25" x14ac:dyDescent="0.25">
      <c r="F38" s="47"/>
      <c r="G38" s="47"/>
      <c r="H38" s="47"/>
      <c r="I38" s="47"/>
      <c r="J38" s="47"/>
      <c r="K38" s="47"/>
      <c r="L38" s="47"/>
      <c r="M38" s="47"/>
      <c r="N38" s="47"/>
      <c r="O38" s="47"/>
      <c r="P38" s="47"/>
      <c r="Q38" s="47"/>
      <c r="R38" s="47"/>
      <c r="S38" s="47"/>
      <c r="T38" s="47"/>
      <c r="U38" s="47"/>
      <c r="V38" s="47"/>
    </row>
  </sheetData>
  <mergeCells count="59">
    <mergeCell ref="F12:W12"/>
    <mergeCell ref="A1:D4"/>
    <mergeCell ref="F1:T4"/>
    <mergeCell ref="U1:V1"/>
    <mergeCell ref="U2:V2"/>
    <mergeCell ref="U3:V3"/>
    <mergeCell ref="U4:V4"/>
    <mergeCell ref="A6:D6"/>
    <mergeCell ref="F6:V6"/>
    <mergeCell ref="A8:D8"/>
    <mergeCell ref="F8:V8"/>
    <mergeCell ref="A10:D10"/>
    <mergeCell ref="F10:V10"/>
    <mergeCell ref="A12:D12"/>
    <mergeCell ref="AG13:AY13"/>
    <mergeCell ref="BA13:BT13"/>
    <mergeCell ref="A14:D14"/>
    <mergeCell ref="F14:H14"/>
    <mergeCell ref="K14:K16"/>
    <mergeCell ref="L14:N14"/>
    <mergeCell ref="P14:R14"/>
    <mergeCell ref="S14:V14"/>
    <mergeCell ref="A15:A16"/>
    <mergeCell ref="B15:B16"/>
    <mergeCell ref="D15:D16"/>
    <mergeCell ref="F15:H15"/>
    <mergeCell ref="L15:N15"/>
    <mergeCell ref="S15:S16"/>
    <mergeCell ref="T15:T16"/>
    <mergeCell ref="U15:U16"/>
    <mergeCell ref="V15:V16"/>
    <mergeCell ref="F21:F22"/>
    <mergeCell ref="H21:K21"/>
    <mergeCell ref="P15:R15"/>
    <mergeCell ref="L17:M17"/>
    <mergeCell ref="R18:R19"/>
    <mergeCell ref="S18:S19"/>
    <mergeCell ref="T18:T19"/>
    <mergeCell ref="U18:U19"/>
    <mergeCell ref="V18:V19"/>
    <mergeCell ref="N18:N19"/>
    <mergeCell ref="O18:O19"/>
    <mergeCell ref="P18:P19"/>
    <mergeCell ref="Q18:Q19"/>
    <mergeCell ref="W18:W19"/>
    <mergeCell ref="BV18:BV19"/>
    <mergeCell ref="A18:A19"/>
    <mergeCell ref="B18:B19"/>
    <mergeCell ref="C18:C19"/>
    <mergeCell ref="D18:D19"/>
    <mergeCell ref="E18:E19"/>
    <mergeCell ref="F18:F19"/>
    <mergeCell ref="G18:G19"/>
    <mergeCell ref="H18:H19"/>
    <mergeCell ref="I18:I19"/>
    <mergeCell ref="J18:J19"/>
    <mergeCell ref="K18:K19"/>
    <mergeCell ref="L18:L19"/>
    <mergeCell ref="M18:M19"/>
  </mergeCells>
  <conditionalFormatting sqref="J17 N17:O17">
    <cfRule type="containsText" dxfId="7" priority="17" operator="containsText" text="E">
      <formula>NOT(ISERROR(SEARCH("E",J17)))</formula>
    </cfRule>
    <cfRule type="containsText" dxfId="6" priority="18" operator="containsText" text="M">
      <formula>NOT(ISERROR(SEARCH("M",J17)))</formula>
    </cfRule>
    <cfRule type="containsText" dxfId="5" priority="19" operator="containsText" text="A">
      <formula>NOT(ISERROR(SEARCH("A",J17)))</formula>
    </cfRule>
    <cfRule type="containsText" dxfId="4" priority="20" operator="containsText" text="B">
      <formula>NOT(ISERROR(SEARCH("B",J17)))</formula>
    </cfRule>
  </conditionalFormatting>
  <pageMargins left="0.7" right="0.7" top="0.75" bottom="0.75" header="0.3" footer="0.3"/>
  <pageSetup paperSize="130" scale="1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32"/>
  <sheetViews>
    <sheetView tabSelected="1" topLeftCell="F7" zoomScale="96" zoomScaleNormal="96" workbookViewId="0">
      <pane xSplit="28275" topLeftCell="X1"/>
      <selection activeCell="F8" sqref="F8:W8"/>
      <selection pane="topRight" activeCell="X11" sqref="X11"/>
    </sheetView>
  </sheetViews>
  <sheetFormatPr baseColWidth="10" defaultColWidth="11.42578125" defaultRowHeight="14.25" x14ac:dyDescent="0.25"/>
  <cols>
    <col min="1" max="1" width="34.7109375" style="441" customWidth="1"/>
    <col min="2" max="3" width="25.5703125" style="441" customWidth="1"/>
    <col min="4" max="5" width="19.7109375" style="441" customWidth="1"/>
    <col min="6" max="7" width="27" style="118" customWidth="1"/>
    <col min="8" max="9" width="19" style="118" customWidth="1"/>
    <col min="10" max="10" width="26.7109375" style="118" customWidth="1"/>
    <col min="11" max="12" width="29.7109375" style="441" customWidth="1"/>
    <col min="13" max="13" width="21.5703125" style="118" customWidth="1"/>
    <col min="14" max="14" width="18.5703125" style="441" customWidth="1"/>
    <col min="15" max="16" width="21.7109375" style="441" customWidth="1"/>
    <col min="17" max="17" width="19.85546875" style="441" customWidth="1"/>
    <col min="18" max="18" width="51" style="441" customWidth="1"/>
    <col min="19" max="19" width="40.5703125" style="441" customWidth="1"/>
    <col min="20" max="20" width="22.42578125" style="118" customWidth="1"/>
    <col min="21" max="21" width="66.85546875" style="441" customWidth="1"/>
    <col min="22" max="22" width="30.42578125" style="441" customWidth="1"/>
    <col min="23" max="23" width="42.140625" style="441" customWidth="1"/>
    <col min="24" max="24" width="86.85546875" style="441" customWidth="1"/>
    <col min="25" max="25" width="30.42578125" style="441" customWidth="1"/>
    <col min="26" max="26" width="36" style="441" hidden="1" customWidth="1"/>
    <col min="27" max="27" width="0" style="441" hidden="1" customWidth="1"/>
    <col min="28" max="74" width="11.42578125" style="441" hidden="1" customWidth="1"/>
    <col min="75" max="75" width="11.42578125" style="441" customWidth="1"/>
    <col min="76" max="16384" width="11.42578125" style="441"/>
  </cols>
  <sheetData>
    <row r="1" spans="1:74" ht="21" customHeight="1" x14ac:dyDescent="0.25">
      <c r="A1" s="573"/>
      <c r="B1" s="573"/>
      <c r="C1" s="573"/>
      <c r="D1" s="573"/>
      <c r="E1" s="72"/>
      <c r="F1" s="574" t="s">
        <v>0</v>
      </c>
      <c r="G1" s="575"/>
      <c r="H1" s="575"/>
      <c r="I1" s="575"/>
      <c r="J1" s="575"/>
      <c r="K1" s="575"/>
      <c r="L1" s="575"/>
      <c r="M1" s="575"/>
      <c r="N1" s="575"/>
      <c r="O1" s="575"/>
      <c r="P1" s="575"/>
      <c r="Q1" s="575"/>
      <c r="R1" s="575"/>
      <c r="S1" s="575"/>
      <c r="T1" s="575"/>
      <c r="U1" s="576"/>
      <c r="V1" s="583" t="s">
        <v>223</v>
      </c>
      <c r="W1" s="584"/>
      <c r="X1" s="450"/>
      <c r="Y1" s="1"/>
      <c r="Z1" s="1"/>
    </row>
    <row r="2" spans="1:74" ht="22.5" customHeight="1" x14ac:dyDescent="0.25">
      <c r="A2" s="573"/>
      <c r="B2" s="573"/>
      <c r="C2" s="573"/>
      <c r="D2" s="573"/>
      <c r="E2" s="73"/>
      <c r="F2" s="577"/>
      <c r="G2" s="578"/>
      <c r="H2" s="578"/>
      <c r="I2" s="578"/>
      <c r="J2" s="578"/>
      <c r="K2" s="578"/>
      <c r="L2" s="578"/>
      <c r="M2" s="578"/>
      <c r="N2" s="578"/>
      <c r="O2" s="578"/>
      <c r="P2" s="578"/>
      <c r="Q2" s="578"/>
      <c r="R2" s="578"/>
      <c r="S2" s="578"/>
      <c r="T2" s="578"/>
      <c r="U2" s="579"/>
      <c r="V2" s="583" t="s">
        <v>149</v>
      </c>
      <c r="W2" s="584"/>
      <c r="X2" s="450"/>
      <c r="Y2" s="1"/>
      <c r="Z2" s="1"/>
    </row>
    <row r="3" spans="1:74" ht="21" customHeight="1" x14ac:dyDescent="0.25">
      <c r="A3" s="573"/>
      <c r="B3" s="573"/>
      <c r="C3" s="573"/>
      <c r="D3" s="573"/>
      <c r="E3" s="73"/>
      <c r="F3" s="577"/>
      <c r="G3" s="578"/>
      <c r="H3" s="578"/>
      <c r="I3" s="578"/>
      <c r="J3" s="578"/>
      <c r="K3" s="578"/>
      <c r="L3" s="578"/>
      <c r="M3" s="578"/>
      <c r="N3" s="578"/>
      <c r="O3" s="578"/>
      <c r="P3" s="578"/>
      <c r="Q3" s="578"/>
      <c r="R3" s="578"/>
      <c r="S3" s="578"/>
      <c r="T3" s="578"/>
      <c r="U3" s="579"/>
      <c r="V3" s="583" t="s">
        <v>150</v>
      </c>
      <c r="W3" s="584"/>
      <c r="X3" s="450"/>
      <c r="Y3" s="1"/>
      <c r="Z3" s="1"/>
    </row>
    <row r="4" spans="1:74" ht="20.25" customHeight="1" x14ac:dyDescent="0.25">
      <c r="A4" s="573"/>
      <c r="B4" s="573"/>
      <c r="C4" s="573"/>
      <c r="D4" s="573"/>
      <c r="E4" s="74"/>
      <c r="F4" s="580"/>
      <c r="G4" s="581"/>
      <c r="H4" s="581"/>
      <c r="I4" s="581"/>
      <c r="J4" s="581"/>
      <c r="K4" s="581"/>
      <c r="L4" s="581"/>
      <c r="M4" s="581"/>
      <c r="N4" s="581"/>
      <c r="O4" s="581"/>
      <c r="P4" s="581"/>
      <c r="Q4" s="581"/>
      <c r="R4" s="581"/>
      <c r="S4" s="581"/>
      <c r="T4" s="581"/>
      <c r="U4" s="582"/>
      <c r="V4" s="583" t="s">
        <v>1</v>
      </c>
      <c r="W4" s="584"/>
      <c r="X4" s="450"/>
      <c r="Y4" s="1"/>
      <c r="Z4" s="1"/>
    </row>
    <row r="5" spans="1:74" ht="8.25" customHeight="1" x14ac:dyDescent="0.25">
      <c r="B5" s="116"/>
      <c r="C5" s="116"/>
      <c r="D5" s="116"/>
      <c r="E5" s="116"/>
      <c r="F5" s="117"/>
      <c r="G5" s="117"/>
      <c r="H5" s="117"/>
      <c r="I5" s="117"/>
      <c r="J5" s="117"/>
      <c r="K5" s="117"/>
      <c r="L5" s="117"/>
      <c r="M5" s="117"/>
      <c r="N5" s="117"/>
      <c r="O5" s="117"/>
      <c r="P5" s="117"/>
      <c r="Q5" s="117"/>
      <c r="R5" s="117"/>
      <c r="Y5" s="442"/>
      <c r="Z5" s="442"/>
    </row>
    <row r="6" spans="1:74" ht="15" x14ac:dyDescent="0.25">
      <c r="A6" s="553" t="s">
        <v>2</v>
      </c>
      <c r="B6" s="553"/>
      <c r="C6" s="553"/>
      <c r="D6" s="553"/>
      <c r="E6" s="75"/>
      <c r="F6" s="567" t="s">
        <v>245</v>
      </c>
      <c r="G6" s="568"/>
      <c r="H6" s="568"/>
      <c r="I6" s="568"/>
      <c r="J6" s="568"/>
      <c r="K6" s="568"/>
      <c r="L6" s="568"/>
      <c r="M6" s="568"/>
      <c r="N6" s="568"/>
      <c r="O6" s="568"/>
      <c r="P6" s="568"/>
      <c r="Q6" s="568"/>
      <c r="R6" s="568"/>
      <c r="S6" s="568"/>
      <c r="T6" s="568"/>
      <c r="U6" s="568"/>
      <c r="V6" s="568"/>
      <c r="W6" s="569"/>
      <c r="X6" s="445"/>
      <c r="Y6" s="442"/>
      <c r="Z6" s="442"/>
    </row>
    <row r="7" spans="1:74" ht="6.75" customHeight="1" x14ac:dyDescent="0.25">
      <c r="B7" s="116"/>
      <c r="C7" s="116"/>
      <c r="D7" s="116"/>
      <c r="E7" s="116"/>
      <c r="F7" s="443"/>
      <c r="G7" s="443"/>
      <c r="H7" s="443"/>
      <c r="I7" s="443"/>
      <c r="J7" s="443"/>
      <c r="K7" s="443"/>
      <c r="L7" s="443"/>
      <c r="M7" s="443"/>
      <c r="N7" s="443"/>
      <c r="O7" s="443"/>
      <c r="P7" s="443"/>
      <c r="Q7" s="443"/>
      <c r="R7" s="443"/>
      <c r="S7" s="444"/>
      <c r="T7" s="444"/>
      <c r="U7" s="444"/>
      <c r="V7" s="444"/>
      <c r="W7" s="444"/>
      <c r="X7" s="444"/>
      <c r="Y7" s="442"/>
      <c r="Z7" s="442"/>
    </row>
    <row r="8" spans="1:74" ht="39.75" customHeight="1" x14ac:dyDescent="0.25">
      <c r="A8" s="553" t="s">
        <v>3</v>
      </c>
      <c r="B8" s="553"/>
      <c r="C8" s="553"/>
      <c r="D8" s="553"/>
      <c r="E8" s="75"/>
      <c r="F8" s="570" t="s">
        <v>246</v>
      </c>
      <c r="G8" s="571"/>
      <c r="H8" s="571"/>
      <c r="I8" s="571"/>
      <c r="J8" s="571"/>
      <c r="K8" s="571"/>
      <c r="L8" s="571"/>
      <c r="M8" s="571"/>
      <c r="N8" s="571"/>
      <c r="O8" s="571"/>
      <c r="P8" s="571"/>
      <c r="Q8" s="571"/>
      <c r="R8" s="571"/>
      <c r="S8" s="571"/>
      <c r="T8" s="571"/>
      <c r="U8" s="571"/>
      <c r="V8" s="571"/>
      <c r="W8" s="572"/>
      <c r="X8" s="451"/>
      <c r="Y8" s="9"/>
      <c r="Z8" s="9"/>
    </row>
    <row r="9" spans="1:74" ht="6.75" customHeight="1" x14ac:dyDescent="0.25">
      <c r="B9" s="119"/>
      <c r="C9" s="119"/>
      <c r="D9" s="119"/>
      <c r="E9" s="119"/>
      <c r="F9" s="122"/>
      <c r="G9" s="122"/>
      <c r="H9" s="122"/>
      <c r="I9" s="122"/>
      <c r="J9" s="122"/>
      <c r="K9" s="122"/>
      <c r="L9" s="122"/>
      <c r="M9" s="122"/>
      <c r="N9" s="122"/>
      <c r="O9" s="122"/>
      <c r="P9" s="122"/>
      <c r="Q9" s="122"/>
      <c r="R9" s="122"/>
      <c r="S9" s="444"/>
      <c r="T9" s="444"/>
      <c r="U9" s="444"/>
      <c r="V9" s="444"/>
      <c r="W9" s="444"/>
      <c r="X9" s="444"/>
      <c r="Y9" s="442"/>
      <c r="Z9" s="442"/>
    </row>
    <row r="10" spans="1:74" ht="15" x14ac:dyDescent="0.25">
      <c r="A10" s="553" t="s">
        <v>4</v>
      </c>
      <c r="B10" s="553"/>
      <c r="C10" s="553"/>
      <c r="D10" s="553"/>
      <c r="E10" s="75"/>
      <c r="F10" s="554" t="s">
        <v>247</v>
      </c>
      <c r="G10" s="555"/>
      <c r="H10" s="555"/>
      <c r="I10" s="555"/>
      <c r="J10" s="555"/>
      <c r="K10" s="555"/>
      <c r="L10" s="555"/>
      <c r="M10" s="555"/>
      <c r="N10" s="555"/>
      <c r="O10" s="555"/>
      <c r="P10" s="555"/>
      <c r="Q10" s="555"/>
      <c r="R10" s="555"/>
      <c r="S10" s="555"/>
      <c r="T10" s="555"/>
      <c r="U10" s="555"/>
      <c r="V10" s="555"/>
      <c r="W10" s="556"/>
      <c r="X10" s="443"/>
      <c r="Y10" s="12"/>
      <c r="Z10" s="12"/>
    </row>
    <row r="11" spans="1:74" ht="5.25" customHeight="1" x14ac:dyDescent="0.25">
      <c r="B11" s="116"/>
      <c r="C11" s="116"/>
      <c r="D11" s="116"/>
      <c r="E11" s="116"/>
      <c r="F11" s="445"/>
      <c r="G11" s="445"/>
      <c r="H11" s="445"/>
      <c r="I11" s="445"/>
      <c r="J11" s="445"/>
      <c r="K11" s="445"/>
      <c r="L11" s="445"/>
      <c r="M11" s="445"/>
      <c r="N11" s="445"/>
      <c r="O11" s="445"/>
      <c r="P11" s="445"/>
      <c r="Q11" s="445"/>
      <c r="R11" s="445"/>
      <c r="S11" s="444"/>
      <c r="T11" s="444"/>
      <c r="U11" s="444"/>
      <c r="V11" s="444"/>
      <c r="W11" s="444"/>
      <c r="X11" s="444"/>
      <c r="Y11" s="442"/>
      <c r="Z11" s="442"/>
    </row>
    <row r="12" spans="1:74" ht="15" x14ac:dyDescent="0.25">
      <c r="A12" s="553" t="s">
        <v>5</v>
      </c>
      <c r="B12" s="553"/>
      <c r="C12" s="553"/>
      <c r="D12" s="553"/>
      <c r="E12" s="75"/>
      <c r="F12" s="554" t="s">
        <v>300</v>
      </c>
      <c r="G12" s="555"/>
      <c r="H12" s="555"/>
      <c r="I12" s="555"/>
      <c r="J12" s="555"/>
      <c r="K12" s="555"/>
      <c r="L12" s="555"/>
      <c r="M12" s="555"/>
      <c r="N12" s="555"/>
      <c r="O12" s="555"/>
      <c r="P12" s="555"/>
      <c r="Q12" s="555"/>
      <c r="R12" s="555"/>
      <c r="S12" s="555"/>
      <c r="T12" s="555"/>
      <c r="U12" s="555"/>
      <c r="V12" s="555"/>
      <c r="W12" s="556"/>
      <c r="X12" s="443"/>
      <c r="Y12" s="12"/>
      <c r="Z12" s="12"/>
      <c r="AC12" s="441" t="s">
        <v>6</v>
      </c>
    </row>
    <row r="13" spans="1:74" ht="15.75" thickBot="1" x14ac:dyDescent="0.3">
      <c r="B13" s="116"/>
      <c r="C13" s="116"/>
      <c r="D13" s="116"/>
      <c r="E13" s="116"/>
      <c r="F13" s="123"/>
      <c r="G13" s="123"/>
      <c r="H13" s="120"/>
      <c r="I13" s="120"/>
      <c r="J13" s="120"/>
      <c r="K13" s="443"/>
      <c r="L13" s="443"/>
      <c r="M13" s="120"/>
      <c r="N13" s="443"/>
      <c r="O13" s="443"/>
      <c r="P13" s="443"/>
      <c r="Q13" s="443"/>
      <c r="R13" s="443"/>
      <c r="S13" s="443"/>
      <c r="T13" s="120"/>
      <c r="U13" s="443"/>
      <c r="Y13" s="442"/>
      <c r="Z13" s="442"/>
      <c r="AC13" s="441" t="s">
        <v>7</v>
      </c>
      <c r="AI13" s="557" t="s">
        <v>8</v>
      </c>
      <c r="AJ13" s="557"/>
      <c r="AK13" s="557"/>
      <c r="AL13" s="557"/>
      <c r="AM13" s="557"/>
      <c r="AN13" s="557"/>
      <c r="AO13" s="557"/>
      <c r="AP13" s="557"/>
      <c r="AQ13" s="557"/>
      <c r="AR13" s="557"/>
      <c r="AS13" s="557"/>
      <c r="AT13" s="557"/>
      <c r="AU13" s="557"/>
      <c r="AV13" s="557"/>
      <c r="AW13" s="557"/>
      <c r="AX13" s="557"/>
      <c r="AY13" s="557"/>
      <c r="AZ13" s="557"/>
      <c r="BA13" s="557"/>
      <c r="BC13" s="557" t="s">
        <v>9</v>
      </c>
      <c r="BD13" s="557"/>
      <c r="BE13" s="557"/>
      <c r="BF13" s="557"/>
      <c r="BG13" s="557"/>
      <c r="BH13" s="557"/>
      <c r="BI13" s="557"/>
      <c r="BJ13" s="557"/>
      <c r="BK13" s="557"/>
      <c r="BL13" s="557"/>
      <c r="BM13" s="557"/>
      <c r="BN13" s="557"/>
      <c r="BO13" s="557"/>
      <c r="BP13" s="557"/>
      <c r="BQ13" s="557"/>
      <c r="BR13" s="557"/>
      <c r="BS13" s="557"/>
      <c r="BT13" s="557"/>
      <c r="BU13" s="557"/>
      <c r="BV13" s="557"/>
    </row>
    <row r="14" spans="1:74" s="17" customFormat="1" ht="15" customHeight="1" x14ac:dyDescent="0.25">
      <c r="A14" s="558" t="s">
        <v>10</v>
      </c>
      <c r="B14" s="559"/>
      <c r="C14" s="559"/>
      <c r="D14" s="560"/>
      <c r="E14" s="76"/>
      <c r="F14" s="561" t="s">
        <v>11</v>
      </c>
      <c r="G14" s="561"/>
      <c r="H14" s="561"/>
      <c r="I14" s="136"/>
      <c r="J14" s="136"/>
      <c r="K14" s="562" t="s">
        <v>12</v>
      </c>
      <c r="L14" s="80"/>
      <c r="M14" s="558" t="s">
        <v>13</v>
      </c>
      <c r="N14" s="559"/>
      <c r="O14" s="560"/>
      <c r="P14" s="464"/>
      <c r="Q14" s="565" t="s">
        <v>14</v>
      </c>
      <c r="R14" s="565"/>
      <c r="S14" s="565"/>
      <c r="T14" s="565" t="s">
        <v>15</v>
      </c>
      <c r="U14" s="565"/>
      <c r="V14" s="565"/>
      <c r="W14" s="561"/>
      <c r="X14" s="452"/>
    </row>
    <row r="15" spans="1:74" s="17" customFormat="1" ht="14.25" customHeight="1" x14ac:dyDescent="0.25">
      <c r="A15" s="563" t="s">
        <v>16</v>
      </c>
      <c r="B15" s="563" t="s">
        <v>17</v>
      </c>
      <c r="C15" s="465"/>
      <c r="D15" s="563" t="s">
        <v>18</v>
      </c>
      <c r="E15" s="465"/>
      <c r="F15" s="543" t="s">
        <v>19</v>
      </c>
      <c r="G15" s="543"/>
      <c r="H15" s="543"/>
      <c r="I15" s="468"/>
      <c r="J15" s="468"/>
      <c r="K15" s="563"/>
      <c r="L15" s="79"/>
      <c r="M15" s="548" t="s">
        <v>20</v>
      </c>
      <c r="N15" s="549"/>
      <c r="O15" s="550"/>
      <c r="P15" s="470"/>
      <c r="Q15" s="548" t="s">
        <v>21</v>
      </c>
      <c r="R15" s="549"/>
      <c r="S15" s="550"/>
      <c r="T15" s="543" t="s">
        <v>22</v>
      </c>
      <c r="U15" s="543" t="s">
        <v>23</v>
      </c>
      <c r="V15" s="543" t="s">
        <v>4</v>
      </c>
      <c r="W15" s="543" t="s">
        <v>24</v>
      </c>
      <c r="X15" s="468"/>
    </row>
    <row r="16" spans="1:74" s="17" customFormat="1" ht="63" customHeight="1" x14ac:dyDescent="0.25">
      <c r="A16" s="566"/>
      <c r="B16" s="566"/>
      <c r="C16" s="467" t="s">
        <v>70</v>
      </c>
      <c r="D16" s="566"/>
      <c r="E16" s="467" t="s">
        <v>71</v>
      </c>
      <c r="F16" s="468" t="s">
        <v>25</v>
      </c>
      <c r="G16" s="468" t="s">
        <v>70</v>
      </c>
      <c r="H16" s="468" t="s">
        <v>9</v>
      </c>
      <c r="I16" s="468" t="s">
        <v>70</v>
      </c>
      <c r="J16" s="468" t="s">
        <v>26</v>
      </c>
      <c r="K16" s="564"/>
      <c r="L16" s="466" t="s">
        <v>72</v>
      </c>
      <c r="M16" s="19" t="s">
        <v>25</v>
      </c>
      <c r="N16" s="19" t="s">
        <v>9</v>
      </c>
      <c r="O16" s="467" t="s">
        <v>26</v>
      </c>
      <c r="P16" s="467" t="s">
        <v>74</v>
      </c>
      <c r="Q16" s="468" t="s">
        <v>27</v>
      </c>
      <c r="R16" s="468" t="s">
        <v>23</v>
      </c>
      <c r="S16" s="468" t="s">
        <v>28</v>
      </c>
      <c r="T16" s="543"/>
      <c r="U16" s="543"/>
      <c r="V16" s="543"/>
      <c r="W16" s="543"/>
      <c r="X16" s="468"/>
    </row>
    <row r="17" spans="1:72" ht="399" customHeight="1" x14ac:dyDescent="0.25">
      <c r="A17" s="480" t="s">
        <v>248</v>
      </c>
      <c r="B17" s="475" t="s">
        <v>249</v>
      </c>
      <c r="C17" s="475" t="s">
        <v>250</v>
      </c>
      <c r="D17" s="475" t="s">
        <v>251</v>
      </c>
      <c r="E17" s="475" t="s">
        <v>81</v>
      </c>
      <c r="F17" s="476">
        <v>1</v>
      </c>
      <c r="G17" s="476" t="s">
        <v>83</v>
      </c>
      <c r="H17" s="477">
        <v>10</v>
      </c>
      <c r="I17" s="477" t="s">
        <v>77</v>
      </c>
      <c r="J17" s="478" t="s">
        <v>39</v>
      </c>
      <c r="K17" s="481" t="s">
        <v>252</v>
      </c>
      <c r="L17" s="642"/>
      <c r="M17" s="643"/>
      <c r="N17" s="478" t="s">
        <v>9</v>
      </c>
      <c r="O17" s="482" t="s">
        <v>39</v>
      </c>
      <c r="P17" s="479" t="s">
        <v>89</v>
      </c>
      <c r="Q17" s="483" t="s">
        <v>253</v>
      </c>
      <c r="R17" s="486" t="s">
        <v>254</v>
      </c>
      <c r="S17" s="486" t="s">
        <v>255</v>
      </c>
      <c r="T17" s="539"/>
      <c r="U17" s="537"/>
      <c r="V17" s="485" t="s">
        <v>256</v>
      </c>
      <c r="W17" s="349"/>
      <c r="X17" s="537"/>
      <c r="Z17" s="447" t="str">
        <f>IF(AND(F17=1,H17=5),$H$23,IF(AND(F17=1,H17=10),$J$23,IF(AND(F17=1,H17=20),$K$23," ")))</f>
        <v>B</v>
      </c>
      <c r="AA17" s="447" t="str">
        <f>IF(AND(F17=2,H17=5),$H$24,IF(AND(F17=2,H17=10),$J$24,IF(AND(F17=2,H17=20),$K$24," ")))</f>
        <v xml:space="preserve"> </v>
      </c>
      <c r="AB17" s="447" t="str">
        <f>IF(AND(F17=3,H17=5),$H$25,IF(AND(F17=3,H17=10),$J$25,IF(AND(F17=3,H17=20),$K$25," ")))</f>
        <v xml:space="preserve"> </v>
      </c>
      <c r="AC17" s="447" t="str">
        <f>IF(AND(F17=4,H17=5),$H$26,IF(AND(F17=4,H17=10),$J$26,IF(AND(F17=4,H17=20),$K$26," ")))</f>
        <v xml:space="preserve"> </v>
      </c>
      <c r="AD17" s="447" t="str">
        <f>IF(AND(F17=5,H17=5),$H$27,IF(AND(F17=5,H17=10),$J$27,IF(AND(F17=5,H17=20),$K$27," ")))</f>
        <v xml:space="preserve"> </v>
      </c>
      <c r="AG17" s="447" t="str">
        <f>IF(AND(M17&gt;0,'[8]EvaluaciónRiesgoCorrup 1'!$F$11&gt;75,F17=1,H17=5),$H$23,IF(AND(M17&gt;0,'[8]EvaluaciónRiesgoCorrup 1'!$F$11&gt;75,F17=1,H17=10),$J$23,IF(AND(M17&gt;0,'[8]EvaluaciónRiesgoCorrup 1'!$F$11&gt;75,F17=1,H17=20),$K$23," ")))</f>
        <v xml:space="preserve"> </v>
      </c>
      <c r="AH17" s="447" t="str">
        <f>IF(AND(M17&gt;0,'[8]EvaluaciónRiesgoCorrup 1'!$F$11&gt;75,F17=2,H17=5),$H$23,IF(AND(M17&gt;0,'[8]EvaluaciónRiesgoCorrup 1'!$F$11&gt;75,F17=2,H17=10),$J$23,IF(AND(M17&gt;0,'[8]EvaluaciónRiesgoCorrup 1'!$F$11&gt;75,F17=2,H17=20),$K$23," ")))</f>
        <v xml:space="preserve"> </v>
      </c>
      <c r="AI17" s="447" t="str">
        <f>IF(AND(M17&gt;0,'[8]EvaluaciónRiesgoCorrup 1'!$F$11&gt;75,F17=3,H17=5),$H$23,IF(AND(M17&gt;0,'[8]EvaluaciónRiesgoCorrup 1'!$F$11&gt;75,F17=3,H17=10),$J$23,IF(AND(M17&gt;0,'[8]EvaluaciónRiesgoCorrup 1'!$F$11&gt;75,F17=3,H17=20),$K$23," ")))</f>
        <v xml:space="preserve"> </v>
      </c>
      <c r="AJ17" s="447" t="str">
        <f>IF(AND(M17&gt;0,'[8]EvaluaciónRiesgoCorrup 1'!$F$11&gt;75,F17=4,H17=5),$H$24,IF(AND(M17&gt;0,'[8]EvaluaciónRiesgoCorrup 1'!$F$11&gt;75,F17=4,H17=10),$J$24,IF(AND(M17&gt;0,'[8]EvaluaciónRiesgoCorrup 1'!$F$11&gt;75,F17=4,H17=20),$K$24," ")))</f>
        <v xml:space="preserve"> </v>
      </c>
      <c r="AK17" s="447" t="str">
        <f>IF(AND(M17&gt;0,'[8]EvaluaciónRiesgoCorrup 1'!$F$11&gt;75,F17=5,H17=5),$H$25,IF(AND(M17&gt;0,'[8]EvaluaciónRiesgoCorrup 1'!$F$11&gt;75,F17=5,H17=10),$J$25,IF(AND(M17&gt;0,'[8]EvaluaciónRiesgoCorrup 1'!$F$11&gt;75,F17=5,H17=20),$K$25," ")))</f>
        <v xml:space="preserve"> </v>
      </c>
      <c r="AM17" s="447" t="str">
        <f>IF(AND(M17&gt;0,'[8]EvaluaciónRiesgoCorrup 1'!$F$11&gt;50,'[8]EvaluaciónRiesgoCorrup 1'!$F$11&lt;76,F17=1,H17=5),$H$23,IF(AND(M17&gt;0,'[8]EvaluaciónRiesgoCorrup 1'!$F$11&gt;50,'[8]EvaluaciónRiesgoCorrup 1'!$F$11&lt;76,F17=1,H17=10),$J$23,IF(AND(M17&gt;0,'[8]EvaluaciónRiesgoCorrup 1'!$F$11&gt;50,'[8]EvaluaciónRiesgoCorrup 1'!$F$11&lt;76,F17=1,H17=20),$K$23," ")))</f>
        <v xml:space="preserve"> </v>
      </c>
      <c r="AN17" s="447" t="str">
        <f>IF(AND(M17&gt;0,'[8]EvaluaciónRiesgoCorrup 1'!$F$11&gt;50,'[8]EvaluaciónRiesgoCorrup 1'!$F$11&lt;76,F17=2,H17=5),$H$23,IF(AND(M17&gt;0,'[8]EvaluaciónRiesgoCorrup 1'!$F$11&gt;50,'[8]EvaluaciónRiesgoCorrup 1'!$F$11&lt;76,F17=2,H17=10),$J$23,IF(AND(M17&gt;0,'[8]EvaluaciónRiesgoCorrup 1'!$F$11&gt;50,'[8]EvaluaciónRiesgoCorrup 1'!$F$11&lt;76,F17=2,H17=20),$K$23," ")))</f>
        <v xml:space="preserve"> </v>
      </c>
      <c r="AO17" s="447" t="str">
        <f>IF(AND(M17&gt;0,'[8]EvaluaciónRiesgoCorrup 1'!$F$11&gt;50,'[8]EvaluaciónRiesgoCorrup 1'!$F$11&lt;76,F17=3,H17=5),$H$24,IF(AND(M17&gt;0,'[8]EvaluaciónRiesgoCorrup 1'!$F$11&gt;50,'[8]EvaluaciónRiesgoCorrup 1'!$F$11&lt;76,F17=3,H17=10),$J$24,IF(AND(M17&gt;0,'[8]EvaluaciónRiesgoCorrup 1'!$F$11&gt;50,'[8]EvaluaciónRiesgoCorrup 1'!$F$11&lt;76,F17=3,H17=20),$K$24," ")))</f>
        <v xml:space="preserve"> </v>
      </c>
      <c r="AP17" s="447" t="str">
        <f>IF(AND(M17&gt;0,'[8]EvaluaciónRiesgoCorrup 1'!$F$11&gt;50,'[8]EvaluaciónRiesgoCorrup 1'!$F$11&lt;76,F17=4,H17=5),$H$25,IF(AND(M17&gt;0,'[8]EvaluaciónRiesgoCorrup 1'!$F$11&gt;50,'[8]EvaluaciónRiesgoCorrup 1'!$F$11&lt;76,F17=4,H17=10),$J$25,IF(AND(M17&gt;0,'[8]EvaluaciónRiesgoCorrup 1'!$F$11&gt;50,'[8]EvaluaciónRiesgoCorrup 1'!$F$11&lt;76,F17=4,H17=20),$K$25," ")))</f>
        <v xml:space="preserve"> </v>
      </c>
      <c r="AQ17" s="447" t="str">
        <f>IF(AND(M17&gt;0,'[8]EvaluaciónRiesgoCorrup 1'!$F$11&gt;50,'[8]EvaluaciónRiesgoCorrup 1'!$F$11&lt;76,F17=5,H17=5),$H$26,IF(AND(M17&gt;0,'[8]EvaluaciónRiesgoCorrup 1'!$F$11&gt;50,'[8]EvaluaciónRiesgoCorrup 1'!$F$11&lt;76,F17=5,H17=10),$J$26,IF(AND(M17&gt;0,'[8]EvaluaciónRiesgoCorrup 1'!$F$11&gt;50,'[8]EvaluaciónRiesgoCorrup 1'!$F$11&lt;76,F17=5,H17=20),$K$26," ")))</f>
        <v xml:space="preserve"> </v>
      </c>
      <c r="AT17" s="447" t="str">
        <f>IF(AND(M17&gt;0,'[8]EvaluaciónRiesgoCorrup 1'!$F$11&lt;51,F17=1,H17=5),$H$23,IF(AND(M17&gt;0,'[8]EvaluaciónRiesgoCorrup 1'!$F$11&lt;51,F17=1,H17=10),$J$23,IF(AND(M17&gt;0,'[8]EvaluaciónRiesgoCorrup 1'!$F$11&lt;51,F17=1,H17=20),K$23," ")))</f>
        <v xml:space="preserve"> </v>
      </c>
      <c r="AU17" s="447" t="str">
        <f>IF(AND(M17&gt;0,'[8]EvaluaciónRiesgoCorrup 1'!$F$11&lt;51,F17=2,H17=5),$H$24,IF(AND(M17&gt;0,'[8]EvaluaciónRiesgoCorrup 1'!$F$11&lt;51,F17=2,H17=10),$J$24,IF(AND(M17&gt;0,'[8]EvaluaciónRiesgoCorrup 1'!$F$11&lt;51,F17=2,H17=20),K$24," ")))</f>
        <v xml:space="preserve"> </v>
      </c>
      <c r="AV17" s="447" t="str">
        <f>IF(AND(M17&gt;0,'[8]EvaluaciónRiesgoCorrup 1'!$F$11&lt;51,F17=3,H17=5),$H$25,IF(AND(M17&gt;0,'[8]EvaluaciónRiesgoCorrup 1'!$F$11&lt;51,F17=3,H17=10),$J$25,IF(AND(M17&gt;0,'[8]EvaluaciónRiesgoCorrup 1'!$F$11&lt;51,F17=3,H17=20),K$25," ")))</f>
        <v xml:space="preserve"> </v>
      </c>
      <c r="AW17" s="447" t="str">
        <f>IF(AND(M17&gt;0,'[8]EvaluaciónRiesgoCorrup 1'!$F$11&lt;51,F17=4,H17=5),$H$26,IF(AND(M17&gt;0,'[8]EvaluaciónRiesgoCorrup 1'!$F$11&lt;51,F17=4,H17=10),$J$26,IF(AND(M17&gt;0,'[8]EvaluaciónRiesgoCorrup 1'!$F$11&lt;51,F17=4,H17=20),K$26," ")))</f>
        <v xml:space="preserve"> </v>
      </c>
      <c r="AX17" s="447" t="str">
        <f>IF(AND(M17&gt;0,'[8]EvaluaciónRiesgoCorrup 1'!$F$11&lt;51,F17=5,H17=5),$H$27,IF(AND(M17&gt;0,'[8]EvaluaciónRiesgoCorrup 1'!$F$11&lt;51,F17=5,H17=10),$J$27,IF(AND(M17&gt;0,'[8]EvaluaciónRiesgoCorrup 1'!$F$11&lt;51,F17=5,H17=20),K$27," ")))</f>
        <v xml:space="preserve"> </v>
      </c>
      <c r="BB17" s="447" t="str">
        <f>IF(AND(N17&gt;0,'[8]EvaluaciónRiesgoCorrup 1'!$F$11&gt;75,F17=1,H17=5),$H$23,IF(AND(N17&gt;0,'[8]EvaluaciónRiesgoCorrup 1'!$F$11&gt;75,F17=1,H17=10),$H$23,IF(AND(N17&gt;0,'[8]EvaluaciónRiesgoCorrup 1'!$F$11&gt;75,F17=1,H17=20),$H$23," ")))</f>
        <v>B</v>
      </c>
      <c r="BC17" s="447" t="str">
        <f>IF(AND(N17&gt;0,'[8]EvaluaciónRiesgoCorrup 1'!$F$11&gt;75,F17=2,H17=5),$H$24,IF(AND(N17&gt;0,'[8]EvaluaciónRiesgoCorrup 1'!$F$11&gt;75,F17=2,H17=10),$H$24,IF(AND(N17&gt;0,'[8]EvaluaciónRiesgoCorrup 1'!$F$11&gt;75,F17=2,H17=20),$H$24," ")))</f>
        <v xml:space="preserve"> </v>
      </c>
      <c r="BD17" s="447" t="str">
        <f>IF(AND(N17&gt;0,'[8]EvaluaciónRiesgoCorrup 1'!$F$11&gt;75,F17=3,H17=5),$H$25,IF(AND(N17&gt;0,'[8]EvaluaciónRiesgoCorrup 1'!$F$11&gt;75,F17=3,H17=10),$H$25,IF(AND(N17&gt;0,'[8]EvaluaciónRiesgoCorrup 1'!$F$11&gt;75,F17=3,H17=20),$H$25," ")))</f>
        <v xml:space="preserve"> </v>
      </c>
      <c r="BE17" s="447" t="str">
        <f>IF(AND(N17&gt;0,'[8]EvaluaciónRiesgoCorrup 1'!$F$11&gt;75,F17=4,H17=5),$H$26,IF(AND(N17&gt;0,'[8]EvaluaciónRiesgoCorrup 1'!$F$11&gt;75,F17=4,H17=10),$H$26,IF(AND(N17&gt;0,'[8]EvaluaciónRiesgoCorrup 1'!$F$11&gt;75,F17=4,H17=20),$H$26," ")))</f>
        <v xml:space="preserve"> </v>
      </c>
      <c r="BF17" s="447" t="str">
        <f>IF(AND(N17&gt;0,'[8]EvaluaciónRiesgoCorrup 1'!$F$11&gt;75,F17=5,H17=5),$H$27,IF(AND(N17&gt;0,'[8]EvaluaciónRiesgoCorrup 1'!$F$11&gt;75,F17=5,H17=10),$H$27,IF(AND(N17&gt;0,'[8]EvaluaciónRiesgoCorrup 1'!$F$11&gt;75,F17=5,H17=20),$H$27," ")))</f>
        <v xml:space="preserve"> </v>
      </c>
      <c r="BI17" s="447" t="str">
        <f>IF(AND(N17&gt;0,'[8]EvaluaciónRiesgoCorrup 1'!$F$11&gt;50,'[8]EvaluaciónRiesgoCorrup 1'!$F$11&lt;76,F17=1,H17=5),$H$23,IF(AND(N17&gt;0,'[8]EvaluaciónRiesgoCorrup 1'!$F$11&gt;50,'[8]EvaluaciónRiesgoCorrup 1'!$F$11&lt;76,F17=1,H17=10),$H$23,IF(AND(N17&gt;0,'[8]EvaluaciónRiesgoCorrup 1'!$F$11&gt;50,'[8]EvaluaciónRiesgoCorrup 1'!$F$11&lt;76,F17=1,H17=20),$J$23," ")))</f>
        <v xml:space="preserve"> </v>
      </c>
      <c r="BJ17" s="447" t="str">
        <f>IF(AND(N17&gt;0,'[8]EvaluaciónRiesgoCorrup 1'!$F$11&gt;50,'[8]EvaluaciónRiesgoCorrup 1'!$F$11&lt;76,F17=2,H17=5),$H$24,IF(AND(N17&gt;0,'[8]EvaluaciónRiesgoCorrup 1'!$F$11&gt;50,'[8]EvaluaciónRiesgoCorrup 1'!$F$11&lt;76,F17=2,H17=10),$H$24,IF(AND(N17&gt;0,'[8]EvaluaciónRiesgoCorrup 1'!$F$11&gt;50,'[8]EvaluaciónRiesgoCorrup 1'!$F$11&lt;76,F17=2,H17=20),$J$24," ")))</f>
        <v xml:space="preserve"> </v>
      </c>
      <c r="BK17" s="447" t="str">
        <f>IF(AND(N17&gt;0,'[8]EvaluaciónRiesgoCorrup 1'!$F$11&gt;50,'[8]EvaluaciónRiesgoCorrup 1'!$F$11&lt;76,F17=3,H17=5),$H$25,IF(AND(N17&gt;0,'[8]EvaluaciónRiesgoCorrup 1'!$F$11&gt;50,'[8]EvaluaciónRiesgoCorrup 1'!$F$11&lt;76,F17=3,H17=10),$H$25,IF(AND(N17&gt;0,'[8]EvaluaciónRiesgoCorrup 1'!$F$11&gt;50,'[8]EvaluaciónRiesgoCorrup 1'!$F$11&lt;76,F17=3,H17=20),$J$25," ")))</f>
        <v xml:space="preserve"> </v>
      </c>
      <c r="BL17" s="447" t="str">
        <f>IF(AND(N17&gt;0,'[8]EvaluaciónRiesgoCorrup 1'!$F$11&gt;50,'[8]EvaluaciónRiesgoCorrup 1'!$F$11&lt;76,F17=4,H17=5),$H$26,IF(AND(N17&gt;0,'[8]EvaluaciónRiesgoCorrup 1'!$F$11&gt;50,'[8]EvaluaciónRiesgoCorrup 1'!$F$11&lt;76,F17=4,H17=10),$H$26,IF(AND(N17&gt;0,'[8]EvaluaciónRiesgoCorrup 1'!$F$11&gt;50,'[8]EvaluaciónRiesgoCorrup 1'!$F$11&lt;76,F17=4,H17=20),$J$26," ")))</f>
        <v xml:space="preserve"> </v>
      </c>
      <c r="BM17" s="447" t="str">
        <f>IF(AND(N17&gt;0,'[8]EvaluaciónRiesgoCorrup 1'!$F$11&gt;50,'[8]EvaluaciónRiesgoCorrup 1'!$F$11&lt;76,F17=5,H17=5),$H$27,IF(AND(N17&gt;0,'[8]EvaluaciónRiesgoCorrup 1'!$F$11&gt;50,'[8]EvaluaciónRiesgoCorrup 1'!$F$11&lt;76,F17=5,H17=10),$H$27,IF(AND(N17&gt;0,'[8]EvaluaciónRiesgoCorrup 1'!$F$11&gt;50,'[8]EvaluaciónRiesgoCorrup 1'!$F$11&lt;76,F17=5,H17=20),$J$27," ")))</f>
        <v xml:space="preserve"> </v>
      </c>
      <c r="BP17" s="447" t="str">
        <f>IF(AND(N17&gt;0,'[8]EvaluaciónRiesgoCorrup 1'!$F$11&lt;51,F17=1,H17=5),$H$23,IF(AND(N17&gt;0,'[8]EvaluaciónRiesgoCorrup 1'!$F$11&lt;51,F17=1,H17=10),$J$23,IF(AND(N17&gt;0,'[8]EvaluaciónRiesgoCorrup 1'!$F$11&lt;51,F17=1,H17=20),$K$23," ")))</f>
        <v xml:space="preserve"> </v>
      </c>
      <c r="BQ17" s="447" t="str">
        <f>IF(AND(N17&gt;0,'[8]EvaluaciónRiesgoCorrup 1'!$F$11&lt;51,F17=2,H17=5),$H$24,IF(AND(N17&gt;0,'[8]EvaluaciónRiesgoCorrup 1'!$F$11&lt;51,F17=2,H17=10),$J$24,IF(AND(N17&gt;0,'[8]EvaluaciónRiesgoCorrup 1'!$F$11&lt;51,F17=2,H17=20),$K$24," ")))</f>
        <v xml:space="preserve"> </v>
      </c>
      <c r="BR17" s="447" t="str">
        <f>IF(AND(N17&gt;0,'[8]EvaluaciónRiesgoCorrup 1'!$F$11&lt;51,F17=3,H17=5),$H$25,IF(AND(N17&gt;0,'[8]EvaluaciónRiesgoCorrup 1'!$F$11&lt;51,F17=3,H17=10),$J$25,IF(AND(N17&gt;0,'[8]EvaluaciónRiesgoCorrup 1'!$F$11&lt;51,F17=3,H17=20),$K$25," ")))</f>
        <v xml:space="preserve"> </v>
      </c>
      <c r="BS17" s="447" t="str">
        <f>IF(AND(N17&gt;0,'[8]EvaluaciónRiesgoCorrup 1'!$F$11&lt;51,F17=4,H17=5),$H$26,IF(AND(N17&gt;0,'[8]EvaluaciónRiesgoCorrup 1'!$F$11&lt;51,F17=4,H17=10),$J$26,IF(AND(N17&gt;0,'[8]EvaluaciónRiesgoCorrup 1'!$F$11&lt;51,F17=4,H17=20),$K$26," ")))</f>
        <v xml:space="preserve"> </v>
      </c>
      <c r="BT17" s="447" t="str">
        <f>IF(AND(N17&gt;0,'[8]EvaluaciónRiesgoCorrup 1'!$F$11&lt;51,F17=5,H17=5),$H$27,IF(AND(N17&gt;0,'[8]EvaluaciónRiesgoCorrup 1'!$F$11&lt;51,F17=5,H17=10),$J$27,IF(AND(N17&gt;0,'[8]EvaluaciónRiesgoCorrup 1'!$F$11&lt;51,F17=5,H17=20),$K$27," ")))</f>
        <v xml:space="preserve"> </v>
      </c>
    </row>
    <row r="18" spans="1:72" ht="125.25" customHeight="1" x14ac:dyDescent="0.25">
      <c r="A18" s="463"/>
      <c r="B18" s="124"/>
      <c r="C18" s="124"/>
      <c r="D18" s="124"/>
      <c r="E18" s="78"/>
    </row>
    <row r="19" spans="1:72" x14ac:dyDescent="0.25">
      <c r="A19" s="447"/>
      <c r="B19" s="126"/>
      <c r="C19" s="126"/>
      <c r="D19" s="126"/>
      <c r="E19" s="139"/>
    </row>
    <row r="20" spans="1:72" ht="15" thickBot="1" x14ac:dyDescent="0.3">
      <c r="A20" s="447"/>
      <c r="B20" s="126"/>
      <c r="C20" s="126"/>
      <c r="D20" s="126"/>
      <c r="E20" s="139"/>
      <c r="H20" s="140"/>
      <c r="I20" s="140"/>
      <c r="J20" s="140"/>
    </row>
    <row r="21" spans="1:72" ht="15.75" thickBot="1" x14ac:dyDescent="0.3">
      <c r="A21" s="442"/>
      <c r="B21" s="139"/>
      <c r="C21" s="139"/>
      <c r="D21" s="139"/>
      <c r="E21" s="139"/>
      <c r="F21" s="544" t="s">
        <v>25</v>
      </c>
      <c r="G21" s="77"/>
      <c r="H21" s="546" t="s">
        <v>9</v>
      </c>
      <c r="I21" s="546"/>
      <c r="J21" s="546"/>
      <c r="K21" s="547"/>
      <c r="L21" s="82"/>
      <c r="M21" s="441"/>
      <c r="R21" s="118"/>
      <c r="T21" s="538" t="s">
        <v>299</v>
      </c>
    </row>
    <row r="22" spans="1:72" ht="32.25" customHeight="1" thickBot="1" x14ac:dyDescent="0.3">
      <c r="A22" s="118"/>
      <c r="B22" s="127" t="s">
        <v>33</v>
      </c>
      <c r="C22" s="127"/>
      <c r="D22" s="127"/>
      <c r="E22" s="127"/>
      <c r="F22" s="545"/>
      <c r="G22" s="469"/>
      <c r="H22" s="128" t="s">
        <v>34</v>
      </c>
      <c r="I22" s="128"/>
      <c r="J22" s="34" t="s">
        <v>35</v>
      </c>
      <c r="K22" s="128" t="s">
        <v>36</v>
      </c>
      <c r="L22" s="83"/>
      <c r="M22" s="441"/>
      <c r="R22" s="118"/>
      <c r="T22" s="441"/>
    </row>
    <row r="23" spans="1:72" ht="15.75" thickBot="1" x14ac:dyDescent="0.3">
      <c r="B23" s="118" t="s">
        <v>37</v>
      </c>
      <c r="C23" s="118"/>
      <c r="F23" s="129" t="s">
        <v>38</v>
      </c>
      <c r="G23" s="129"/>
      <c r="H23" s="130" t="s">
        <v>39</v>
      </c>
      <c r="I23" s="130"/>
      <c r="J23" s="130" t="s">
        <v>39</v>
      </c>
      <c r="K23" s="131" t="s">
        <v>40</v>
      </c>
      <c r="L23" s="84"/>
      <c r="M23" s="441"/>
      <c r="R23" s="118"/>
      <c r="T23" s="441"/>
    </row>
    <row r="24" spans="1:72" ht="15.75" thickBot="1" x14ac:dyDescent="0.3">
      <c r="F24" s="129" t="s">
        <v>41</v>
      </c>
      <c r="G24" s="129"/>
      <c r="H24" s="130" t="s">
        <v>39</v>
      </c>
      <c r="I24" s="130"/>
      <c r="J24" s="131" t="s">
        <v>40</v>
      </c>
      <c r="K24" s="38" t="s">
        <v>42</v>
      </c>
      <c r="L24" s="85"/>
      <c r="M24" s="441"/>
      <c r="R24" s="118"/>
      <c r="T24" s="441"/>
    </row>
    <row r="25" spans="1:72" ht="15.75" thickBot="1" x14ac:dyDescent="0.3">
      <c r="F25" s="129" t="s">
        <v>43</v>
      </c>
      <c r="G25" s="129"/>
      <c r="H25" s="131" t="s">
        <v>40</v>
      </c>
      <c r="I25" s="131"/>
      <c r="J25" s="38" t="s">
        <v>42</v>
      </c>
      <c r="K25" s="39" t="s">
        <v>44</v>
      </c>
      <c r="L25" s="86"/>
      <c r="M25" s="441"/>
      <c r="R25" s="118"/>
      <c r="T25" s="441"/>
    </row>
    <row r="26" spans="1:72" ht="15.75" thickBot="1" x14ac:dyDescent="0.3">
      <c r="F26" s="129" t="s">
        <v>45</v>
      </c>
      <c r="G26" s="129"/>
      <c r="H26" s="131" t="s">
        <v>40</v>
      </c>
      <c r="I26" s="131"/>
      <c r="J26" s="38" t="s">
        <v>42</v>
      </c>
      <c r="K26" s="39" t="s">
        <v>44</v>
      </c>
      <c r="L26" s="86"/>
      <c r="M26" s="441"/>
      <c r="R26" s="118"/>
      <c r="T26" s="441"/>
    </row>
    <row r="27" spans="1:72" ht="15.75" thickBot="1" x14ac:dyDescent="0.3">
      <c r="F27" s="129" t="s">
        <v>46</v>
      </c>
      <c r="G27" s="129"/>
      <c r="H27" s="131" t="s">
        <v>40</v>
      </c>
      <c r="I27" s="131"/>
      <c r="J27" s="38" t="s">
        <v>42</v>
      </c>
      <c r="K27" s="39" t="s">
        <v>44</v>
      </c>
      <c r="L27" s="86"/>
      <c r="M27" s="441"/>
      <c r="R27" s="118"/>
      <c r="T27" s="441"/>
    </row>
    <row r="28" spans="1:72" x14ac:dyDescent="0.25">
      <c r="F28" s="441"/>
      <c r="G28" s="441"/>
      <c r="H28" s="441"/>
      <c r="I28" s="441"/>
      <c r="J28" s="441"/>
      <c r="K28" s="118"/>
      <c r="L28" s="118"/>
      <c r="N28" s="118"/>
    </row>
    <row r="29" spans="1:72" ht="15" x14ac:dyDescent="0.25">
      <c r="F29" s="132" t="s">
        <v>47</v>
      </c>
      <c r="G29" s="132"/>
      <c r="H29" s="441"/>
      <c r="I29" s="441"/>
      <c r="J29" s="441"/>
      <c r="K29" s="118"/>
      <c r="L29" s="118"/>
      <c r="N29" s="118"/>
      <c r="O29" s="118"/>
      <c r="P29" s="118"/>
      <c r="Q29" s="118"/>
    </row>
    <row r="30" spans="1:72" ht="15" x14ac:dyDescent="0.25">
      <c r="F30" s="133" t="s">
        <v>48</v>
      </c>
      <c r="G30" s="133"/>
      <c r="H30" s="441"/>
      <c r="I30" s="441"/>
      <c r="J30" s="441"/>
      <c r="K30" s="118"/>
      <c r="L30" s="118"/>
      <c r="N30" s="118"/>
      <c r="O30" s="118"/>
      <c r="P30" s="118"/>
      <c r="Q30" s="118"/>
    </row>
    <row r="31" spans="1:72" ht="15" x14ac:dyDescent="0.25">
      <c r="F31" s="134" t="s">
        <v>49</v>
      </c>
      <c r="G31" s="134"/>
      <c r="H31" s="441"/>
      <c r="I31" s="441"/>
      <c r="J31" s="441"/>
      <c r="K31" s="118"/>
      <c r="L31" s="118"/>
      <c r="N31" s="118"/>
      <c r="O31" s="118"/>
      <c r="P31" s="118"/>
      <c r="Q31" s="118"/>
    </row>
    <row r="32" spans="1:72" ht="15" x14ac:dyDescent="0.25">
      <c r="F32" s="135" t="s">
        <v>50</v>
      </c>
      <c r="G32" s="135"/>
      <c r="H32" s="441"/>
      <c r="I32" s="441"/>
      <c r="J32" s="441"/>
      <c r="K32" s="118"/>
      <c r="L32" s="118"/>
      <c r="N32" s="118"/>
      <c r="O32" s="118"/>
      <c r="P32" s="118"/>
      <c r="Q32" s="118"/>
    </row>
  </sheetData>
  <mergeCells count="35">
    <mergeCell ref="U15:U16"/>
    <mergeCell ref="V15:V16"/>
    <mergeCell ref="W15:W16"/>
    <mergeCell ref="F21:F22"/>
    <mergeCell ref="H21:K21"/>
    <mergeCell ref="L17:M17"/>
    <mergeCell ref="Q15:S15"/>
    <mergeCell ref="A12:D12"/>
    <mergeCell ref="F12:W12"/>
    <mergeCell ref="AI13:BA13"/>
    <mergeCell ref="BC13:BV13"/>
    <mergeCell ref="A14:D14"/>
    <mergeCell ref="F14:H14"/>
    <mergeCell ref="K14:K16"/>
    <mergeCell ref="M14:O14"/>
    <mergeCell ref="Q14:S14"/>
    <mergeCell ref="T14:W14"/>
    <mergeCell ref="A15:A16"/>
    <mergeCell ref="B15:B16"/>
    <mergeCell ref="D15:D16"/>
    <mergeCell ref="F15:H15"/>
    <mergeCell ref="M15:O15"/>
    <mergeCell ref="T15:T16"/>
    <mergeCell ref="A6:D6"/>
    <mergeCell ref="F6:W6"/>
    <mergeCell ref="A8:D8"/>
    <mergeCell ref="F8:W8"/>
    <mergeCell ref="A10:D10"/>
    <mergeCell ref="F10:W10"/>
    <mergeCell ref="A1:D4"/>
    <mergeCell ref="F1:U4"/>
    <mergeCell ref="V1:W1"/>
    <mergeCell ref="V2:W2"/>
    <mergeCell ref="V3:W3"/>
    <mergeCell ref="V4:W4"/>
  </mergeCells>
  <conditionalFormatting sqref="J17 N17">
    <cfRule type="containsText" dxfId="3" priority="1" operator="containsText" text="E">
      <formula>NOT(ISERROR(SEARCH("E",J17)))</formula>
    </cfRule>
    <cfRule type="containsText" dxfId="2" priority="2" operator="containsText" text="M">
      <formula>NOT(ISERROR(SEARCH("M",J17)))</formula>
    </cfRule>
    <cfRule type="containsText" dxfId="1" priority="3" operator="containsText" text="A">
      <formula>NOT(ISERROR(SEARCH("A",J17)))</formula>
    </cfRule>
    <cfRule type="containsText" dxfId="0" priority="4" operator="containsText" text="B">
      <formula>NOT(ISERROR(SEARCH("B",J17)))</formula>
    </cfRule>
  </conditionalFormatting>
  <dataValidations xWindow="1429" yWindow="706" count="3">
    <dataValidation type="list" allowBlank="1" showInputMessage="1" showErrorMessage="1" sqref="Q18:R18">
      <formula1>$J$29:$J$32</formula1>
    </dataValidation>
    <dataValidation type="list" allowBlank="1" showInputMessage="1" showErrorMessage="1" sqref="M18:P18">
      <formula1>#REF!</formula1>
    </dataValidation>
    <dataValidation type="list" allowBlank="1" showInputMessage="1" showErrorMessage="1" promptTitle="AFECTA A:" prompt="Seleccione según a quien afecte el control" sqref="L17:M17">
      <formula1>#REF!</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9" sqref="K29"/>
    </sheetView>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3"/>
  <sheetViews>
    <sheetView showGridLines="0" view="pageBreakPreview" topLeftCell="F4" zoomScale="120" zoomScaleNormal="70" zoomScaleSheetLayoutView="120" workbookViewId="0">
      <pane xSplit="26220" topLeftCell="BV1"/>
      <selection activeCell="F12" sqref="F12:V12"/>
      <selection pane="topRight" activeCell="S14" sqref="S14"/>
    </sheetView>
  </sheetViews>
  <sheetFormatPr baseColWidth="10" defaultColWidth="11.42578125" defaultRowHeight="14.25" x14ac:dyDescent="0.25"/>
  <cols>
    <col min="1" max="1" width="41.28515625" style="2" customWidth="1"/>
    <col min="2" max="2" width="41.140625" style="2" customWidth="1"/>
    <col min="3" max="3" width="40.42578125" style="115" customWidth="1"/>
    <col min="4" max="4" width="40.42578125" style="2" customWidth="1"/>
    <col min="5" max="5" width="40.42578125" style="115" customWidth="1"/>
    <col min="6" max="6" width="27" style="5" customWidth="1"/>
    <col min="7" max="7" width="27" style="118" customWidth="1"/>
    <col min="8" max="8" width="19" style="5" customWidth="1"/>
    <col min="9" max="9" width="19" style="118" customWidth="1"/>
    <col min="10" max="10" width="26.7109375" style="5" customWidth="1"/>
    <col min="11" max="11" width="29.7109375" style="2" customWidth="1"/>
    <col min="12" max="12" width="17.7109375" style="5" customWidth="1"/>
    <col min="13" max="13" width="18.5703125" style="2" customWidth="1"/>
    <col min="14" max="14" width="21.7109375" style="2" customWidth="1"/>
    <col min="15" max="15" width="21.7109375" style="115" customWidth="1"/>
    <col min="16" max="17" width="19.85546875" style="2" customWidth="1"/>
    <col min="18" max="18" width="17" style="2" customWidth="1"/>
    <col min="19" max="19" width="36.42578125" style="5" customWidth="1"/>
    <col min="20" max="20" width="26.5703125" style="2" customWidth="1"/>
    <col min="21" max="22" width="30.42578125" style="2" customWidth="1"/>
    <col min="23" max="23" width="75.85546875" style="441" customWidth="1"/>
    <col min="24" max="24" width="30.42578125" style="2" customWidth="1"/>
    <col min="25" max="25" width="36" style="2" hidden="1" customWidth="1"/>
    <col min="26" max="26" width="0" style="2" hidden="1" customWidth="1"/>
    <col min="27" max="73" width="11.42578125" style="2" hidden="1" customWidth="1"/>
    <col min="74" max="74" width="11.42578125" style="2" customWidth="1"/>
    <col min="75" max="16384" width="11.42578125" style="2"/>
  </cols>
  <sheetData>
    <row r="1" spans="1:73" ht="21" customHeight="1" x14ac:dyDescent="0.25">
      <c r="A1" s="573"/>
      <c r="B1" s="573"/>
      <c r="C1" s="573"/>
      <c r="D1" s="573"/>
      <c r="E1" s="72"/>
      <c r="F1" s="574" t="s">
        <v>0</v>
      </c>
      <c r="G1" s="575"/>
      <c r="H1" s="575"/>
      <c r="I1" s="575"/>
      <c r="J1" s="575"/>
      <c r="K1" s="575"/>
      <c r="L1" s="575"/>
      <c r="M1" s="575"/>
      <c r="N1" s="575"/>
      <c r="O1" s="575"/>
      <c r="P1" s="575"/>
      <c r="Q1" s="575"/>
      <c r="R1" s="575"/>
      <c r="S1" s="575"/>
      <c r="T1" s="576"/>
      <c r="U1" s="583" t="s">
        <v>223</v>
      </c>
      <c r="V1" s="584"/>
      <c r="W1" s="450"/>
      <c r="X1" s="1"/>
      <c r="Y1" s="1"/>
    </row>
    <row r="2" spans="1:73" ht="22.5" customHeight="1" x14ac:dyDescent="0.25">
      <c r="A2" s="573"/>
      <c r="B2" s="573"/>
      <c r="C2" s="573"/>
      <c r="D2" s="573"/>
      <c r="E2" s="73"/>
      <c r="F2" s="577"/>
      <c r="G2" s="578"/>
      <c r="H2" s="578"/>
      <c r="I2" s="578"/>
      <c r="J2" s="578"/>
      <c r="K2" s="578"/>
      <c r="L2" s="578"/>
      <c r="M2" s="578"/>
      <c r="N2" s="578"/>
      <c r="O2" s="578"/>
      <c r="P2" s="578"/>
      <c r="Q2" s="578"/>
      <c r="R2" s="578"/>
      <c r="S2" s="578"/>
      <c r="T2" s="579"/>
      <c r="U2" s="583" t="s">
        <v>149</v>
      </c>
      <c r="V2" s="584"/>
      <c r="W2" s="450"/>
      <c r="X2" s="1"/>
      <c r="Y2" s="1"/>
    </row>
    <row r="3" spans="1:73" ht="21" customHeight="1" x14ac:dyDescent="0.25">
      <c r="A3" s="573"/>
      <c r="B3" s="573"/>
      <c r="C3" s="573"/>
      <c r="D3" s="573"/>
      <c r="E3" s="73"/>
      <c r="F3" s="577"/>
      <c r="G3" s="578"/>
      <c r="H3" s="578"/>
      <c r="I3" s="578"/>
      <c r="J3" s="578"/>
      <c r="K3" s="578"/>
      <c r="L3" s="578"/>
      <c r="M3" s="578"/>
      <c r="N3" s="578"/>
      <c r="O3" s="578"/>
      <c r="P3" s="578"/>
      <c r="Q3" s="578"/>
      <c r="R3" s="578"/>
      <c r="S3" s="578"/>
      <c r="T3" s="579"/>
      <c r="U3" s="583" t="s">
        <v>150</v>
      </c>
      <c r="V3" s="584"/>
      <c r="W3" s="450"/>
      <c r="X3" s="1"/>
      <c r="Y3" s="1"/>
    </row>
    <row r="4" spans="1:73" ht="20.25" customHeight="1" x14ac:dyDescent="0.25">
      <c r="A4" s="573"/>
      <c r="B4" s="573"/>
      <c r="C4" s="573"/>
      <c r="D4" s="573"/>
      <c r="E4" s="74"/>
      <c r="F4" s="580"/>
      <c r="G4" s="581"/>
      <c r="H4" s="581"/>
      <c r="I4" s="581"/>
      <c r="J4" s="581"/>
      <c r="K4" s="581"/>
      <c r="L4" s="581"/>
      <c r="M4" s="581"/>
      <c r="N4" s="581"/>
      <c r="O4" s="581"/>
      <c r="P4" s="581"/>
      <c r="Q4" s="581"/>
      <c r="R4" s="581"/>
      <c r="S4" s="581"/>
      <c r="T4" s="582"/>
      <c r="U4" s="583" t="s">
        <v>1</v>
      </c>
      <c r="V4" s="584"/>
      <c r="W4" s="450"/>
      <c r="X4" s="1"/>
      <c r="Y4" s="1"/>
    </row>
    <row r="5" spans="1:73" ht="8.25" customHeight="1" x14ac:dyDescent="0.25">
      <c r="B5" s="3"/>
      <c r="C5" s="116"/>
      <c r="D5" s="3"/>
      <c r="E5" s="116"/>
      <c r="F5" s="4"/>
      <c r="G5" s="117"/>
      <c r="H5" s="4"/>
      <c r="I5" s="117"/>
      <c r="J5" s="4"/>
      <c r="K5" s="4"/>
      <c r="L5" s="4"/>
      <c r="M5" s="4"/>
      <c r="N5" s="4"/>
      <c r="O5" s="117"/>
      <c r="P5" s="4"/>
      <c r="Q5" s="4"/>
      <c r="X5" s="6"/>
      <c r="Y5" s="6"/>
    </row>
    <row r="6" spans="1:73" ht="15" x14ac:dyDescent="0.25">
      <c r="A6" s="553" t="s">
        <v>2</v>
      </c>
      <c r="B6" s="553"/>
      <c r="C6" s="553"/>
      <c r="D6" s="553"/>
      <c r="E6" s="75"/>
      <c r="F6" s="567" t="str">
        <f>[2]IdentRiesgo!B2</f>
        <v>Gestión de la Planeación</v>
      </c>
      <c r="G6" s="568"/>
      <c r="H6" s="568"/>
      <c r="I6" s="568"/>
      <c r="J6" s="568"/>
      <c r="K6" s="568"/>
      <c r="L6" s="568"/>
      <c r="M6" s="568"/>
      <c r="N6" s="568"/>
      <c r="O6" s="568"/>
      <c r="P6" s="568"/>
      <c r="Q6" s="568"/>
      <c r="R6" s="568"/>
      <c r="S6" s="568"/>
      <c r="T6" s="568"/>
      <c r="U6" s="568"/>
      <c r="V6" s="569"/>
      <c r="W6" s="445"/>
      <c r="X6" s="6"/>
      <c r="Y6" s="6"/>
    </row>
    <row r="7" spans="1:73" ht="6.75" customHeight="1" x14ac:dyDescent="0.25">
      <c r="B7" s="3"/>
      <c r="C7" s="116"/>
      <c r="D7" s="3"/>
      <c r="E7" s="116"/>
      <c r="F7" s="7"/>
      <c r="G7" s="121"/>
      <c r="H7" s="7"/>
      <c r="I7" s="121"/>
      <c r="J7" s="7"/>
      <c r="K7" s="7"/>
      <c r="L7" s="7"/>
      <c r="M7" s="7"/>
      <c r="N7" s="7"/>
      <c r="O7" s="121"/>
      <c r="P7" s="7"/>
      <c r="Q7" s="7"/>
      <c r="R7" s="8"/>
      <c r="S7" s="8"/>
      <c r="T7" s="8"/>
      <c r="U7" s="8"/>
      <c r="V7" s="8"/>
      <c r="W7" s="444"/>
      <c r="X7" s="6"/>
      <c r="Y7" s="6"/>
    </row>
    <row r="8" spans="1:73" ht="39.75" customHeight="1" x14ac:dyDescent="0.25">
      <c r="A8" s="553" t="s">
        <v>3</v>
      </c>
      <c r="B8" s="553"/>
      <c r="C8" s="553"/>
      <c r="D8" s="553"/>
      <c r="E8" s="75"/>
      <c r="F8" s="570" t="str">
        <f>[2]IdentRiesgo!B3</f>
        <v xml:space="preserve">Coordinar la formulación y hacer el seguimiento de los instrumentos de planeación necesarios para contribuir al cumplimiento de la misión institucional en el marco de las políticas vigentes. </v>
      </c>
      <c r="G8" s="571"/>
      <c r="H8" s="571"/>
      <c r="I8" s="571"/>
      <c r="J8" s="571"/>
      <c r="K8" s="571"/>
      <c r="L8" s="571"/>
      <c r="M8" s="571"/>
      <c r="N8" s="571"/>
      <c r="O8" s="571"/>
      <c r="P8" s="571"/>
      <c r="Q8" s="571"/>
      <c r="R8" s="571"/>
      <c r="S8" s="571"/>
      <c r="T8" s="571"/>
      <c r="U8" s="571"/>
      <c r="V8" s="572"/>
      <c r="W8" s="451"/>
      <c r="X8" s="9"/>
      <c r="Y8" s="9"/>
    </row>
    <row r="9" spans="1:73" ht="6.75" customHeight="1" x14ac:dyDescent="0.25">
      <c r="B9" s="10"/>
      <c r="C9" s="119"/>
      <c r="D9" s="10"/>
      <c r="E9" s="119"/>
      <c r="F9" s="11"/>
      <c r="G9" s="122"/>
      <c r="H9" s="11"/>
      <c r="I9" s="122"/>
      <c r="J9" s="11"/>
      <c r="K9" s="11"/>
      <c r="L9" s="11"/>
      <c r="M9" s="11"/>
      <c r="N9" s="11"/>
      <c r="O9" s="122"/>
      <c r="P9" s="11"/>
      <c r="Q9" s="11"/>
      <c r="R9" s="8"/>
      <c r="S9" s="8"/>
      <c r="T9" s="8"/>
      <c r="U9" s="8"/>
      <c r="V9" s="8"/>
      <c r="W9" s="444"/>
      <c r="X9" s="6"/>
      <c r="Y9" s="6"/>
    </row>
    <row r="10" spans="1:73" ht="15" x14ac:dyDescent="0.25">
      <c r="A10" s="553" t="s">
        <v>4</v>
      </c>
      <c r="B10" s="553"/>
      <c r="C10" s="553"/>
      <c r="D10" s="553"/>
      <c r="E10" s="75"/>
      <c r="F10" s="554" t="s">
        <v>64</v>
      </c>
      <c r="G10" s="555"/>
      <c r="H10" s="555"/>
      <c r="I10" s="555"/>
      <c r="J10" s="555"/>
      <c r="K10" s="555"/>
      <c r="L10" s="555"/>
      <c r="M10" s="555"/>
      <c r="N10" s="555"/>
      <c r="O10" s="555"/>
      <c r="P10" s="555"/>
      <c r="Q10" s="555"/>
      <c r="R10" s="555"/>
      <c r="S10" s="555"/>
      <c r="T10" s="555"/>
      <c r="U10" s="555"/>
      <c r="V10" s="556"/>
      <c r="W10" s="443"/>
      <c r="X10" s="12"/>
      <c r="Y10" s="12"/>
    </row>
    <row r="11" spans="1:73" ht="5.25" customHeight="1" x14ac:dyDescent="0.25">
      <c r="B11" s="3"/>
      <c r="C11" s="116"/>
      <c r="D11" s="3"/>
      <c r="E11" s="116"/>
      <c r="F11" s="13"/>
      <c r="G11" s="141"/>
      <c r="H11" s="13"/>
      <c r="I11" s="141"/>
      <c r="J11" s="13"/>
      <c r="K11" s="13"/>
      <c r="L11" s="13"/>
      <c r="M11" s="13"/>
      <c r="N11" s="13"/>
      <c r="O11" s="141"/>
      <c r="P11" s="13"/>
      <c r="Q11" s="13"/>
      <c r="R11" s="8"/>
      <c r="S11" s="8"/>
      <c r="T11" s="8"/>
      <c r="U11" s="8"/>
      <c r="V11" s="8"/>
      <c r="W11" s="444"/>
      <c r="X11" s="6"/>
      <c r="Y11" s="6"/>
    </row>
    <row r="12" spans="1:73" ht="15.75" x14ac:dyDescent="0.25">
      <c r="A12" s="553" t="s">
        <v>5</v>
      </c>
      <c r="B12" s="553"/>
      <c r="C12" s="553"/>
      <c r="D12" s="553"/>
      <c r="E12" s="75"/>
      <c r="F12" s="585">
        <v>43496</v>
      </c>
      <c r="G12" s="586"/>
      <c r="H12" s="586"/>
      <c r="I12" s="586"/>
      <c r="J12" s="586"/>
      <c r="K12" s="586"/>
      <c r="L12" s="586"/>
      <c r="M12" s="586"/>
      <c r="N12" s="586"/>
      <c r="O12" s="586"/>
      <c r="P12" s="586"/>
      <c r="Q12" s="586"/>
      <c r="R12" s="586"/>
      <c r="S12" s="586"/>
      <c r="T12" s="586"/>
      <c r="U12" s="586"/>
      <c r="V12" s="587"/>
      <c r="W12" s="457"/>
      <c r="X12" s="12"/>
      <c r="Y12" s="12"/>
      <c r="AB12" s="2" t="s">
        <v>6</v>
      </c>
    </row>
    <row r="13" spans="1:73" ht="15.75" thickBot="1" x14ac:dyDescent="0.3">
      <c r="B13" s="3"/>
      <c r="C13" s="116"/>
      <c r="D13" s="3"/>
      <c r="E13" s="116"/>
      <c r="F13" s="14"/>
      <c r="G13" s="123"/>
      <c r="H13" s="15"/>
      <c r="I13" s="120"/>
      <c r="J13" s="15"/>
      <c r="K13" s="7"/>
      <c r="L13" s="15"/>
      <c r="M13" s="7"/>
      <c r="N13" s="7"/>
      <c r="O13" s="121"/>
      <c r="P13" s="7"/>
      <c r="Q13" s="7"/>
      <c r="R13" s="7"/>
      <c r="S13" s="15"/>
      <c r="T13" s="7"/>
      <c r="X13" s="6"/>
      <c r="Y13" s="6"/>
      <c r="AB13" s="2" t="s">
        <v>7</v>
      </c>
      <c r="AH13" s="557" t="s">
        <v>8</v>
      </c>
      <c r="AI13" s="557"/>
      <c r="AJ13" s="557"/>
      <c r="AK13" s="557"/>
      <c r="AL13" s="557"/>
      <c r="AM13" s="557"/>
      <c r="AN13" s="557"/>
      <c r="AO13" s="557"/>
      <c r="AP13" s="557"/>
      <c r="AQ13" s="557"/>
      <c r="AR13" s="557"/>
      <c r="AS13" s="557"/>
      <c r="AT13" s="557"/>
      <c r="AU13" s="557"/>
      <c r="AV13" s="557"/>
      <c r="AW13" s="557"/>
      <c r="AX13" s="557"/>
      <c r="AY13" s="557"/>
      <c r="AZ13" s="557"/>
      <c r="BB13" s="557" t="s">
        <v>9</v>
      </c>
      <c r="BC13" s="557"/>
      <c r="BD13" s="557"/>
      <c r="BE13" s="557"/>
      <c r="BF13" s="557"/>
      <c r="BG13" s="557"/>
      <c r="BH13" s="557"/>
      <c r="BI13" s="557"/>
      <c r="BJ13" s="557"/>
      <c r="BK13" s="557"/>
      <c r="BL13" s="557"/>
      <c r="BM13" s="557"/>
      <c r="BN13" s="557"/>
      <c r="BO13" s="557"/>
      <c r="BP13" s="557"/>
      <c r="BQ13" s="557"/>
      <c r="BR13" s="557"/>
      <c r="BS13" s="557"/>
      <c r="BT13" s="557"/>
      <c r="BU13" s="557"/>
    </row>
    <row r="14" spans="1:73" s="17" customFormat="1" ht="15" customHeight="1" x14ac:dyDescent="0.25">
      <c r="A14" s="558" t="s">
        <v>10</v>
      </c>
      <c r="B14" s="559"/>
      <c r="C14" s="559"/>
      <c r="D14" s="560"/>
      <c r="E14" s="76"/>
      <c r="F14" s="561" t="s">
        <v>11</v>
      </c>
      <c r="G14" s="561"/>
      <c r="H14" s="561"/>
      <c r="I14" s="136"/>
      <c r="J14" s="16"/>
      <c r="K14" s="562" t="s">
        <v>12</v>
      </c>
      <c r="L14" s="558" t="s">
        <v>13</v>
      </c>
      <c r="M14" s="559"/>
      <c r="N14" s="560"/>
      <c r="O14" s="158"/>
      <c r="P14" s="565" t="s">
        <v>14</v>
      </c>
      <c r="Q14" s="565"/>
      <c r="R14" s="565"/>
      <c r="S14" s="565" t="s">
        <v>15</v>
      </c>
      <c r="T14" s="565"/>
      <c r="U14" s="561"/>
      <c r="V14" s="561"/>
      <c r="W14" s="452"/>
    </row>
    <row r="15" spans="1:73" s="17" customFormat="1" ht="14.25" customHeight="1" x14ac:dyDescent="0.25">
      <c r="A15" s="563" t="s">
        <v>16</v>
      </c>
      <c r="B15" s="563" t="s">
        <v>17</v>
      </c>
      <c r="C15" s="159"/>
      <c r="D15" s="563" t="s">
        <v>18</v>
      </c>
      <c r="E15" s="159"/>
      <c r="F15" s="543" t="s">
        <v>19</v>
      </c>
      <c r="G15" s="543"/>
      <c r="H15" s="543"/>
      <c r="I15" s="161"/>
      <c r="J15" s="50"/>
      <c r="K15" s="563"/>
      <c r="L15" s="548" t="s">
        <v>20</v>
      </c>
      <c r="M15" s="549"/>
      <c r="N15" s="550"/>
      <c r="O15" s="162"/>
      <c r="P15" s="548" t="s">
        <v>21</v>
      </c>
      <c r="Q15" s="549"/>
      <c r="R15" s="550"/>
      <c r="S15" s="543" t="s">
        <v>22</v>
      </c>
      <c r="T15" s="543" t="s">
        <v>23</v>
      </c>
      <c r="U15" s="543" t="s">
        <v>4</v>
      </c>
      <c r="V15" s="543" t="s">
        <v>24</v>
      </c>
      <c r="W15" s="491" t="s">
        <v>284</v>
      </c>
    </row>
    <row r="16" spans="1:73" s="17" customFormat="1" ht="63" customHeight="1" x14ac:dyDescent="0.25">
      <c r="A16" s="566"/>
      <c r="B16" s="566"/>
      <c r="C16" s="160" t="s">
        <v>70</v>
      </c>
      <c r="D16" s="566"/>
      <c r="E16" s="160" t="s">
        <v>71</v>
      </c>
      <c r="F16" s="50" t="s">
        <v>25</v>
      </c>
      <c r="G16" s="161" t="s">
        <v>70</v>
      </c>
      <c r="H16" s="50" t="s">
        <v>9</v>
      </c>
      <c r="I16" s="161" t="s">
        <v>70</v>
      </c>
      <c r="J16" s="50" t="s">
        <v>26</v>
      </c>
      <c r="K16" s="564"/>
      <c r="L16" s="19" t="s">
        <v>25</v>
      </c>
      <c r="M16" s="19" t="s">
        <v>9</v>
      </c>
      <c r="N16" s="51" t="s">
        <v>26</v>
      </c>
      <c r="O16" s="160" t="s">
        <v>74</v>
      </c>
      <c r="P16" s="50" t="s">
        <v>27</v>
      </c>
      <c r="Q16" s="50" t="s">
        <v>23</v>
      </c>
      <c r="R16" s="50" t="s">
        <v>28</v>
      </c>
      <c r="S16" s="543"/>
      <c r="T16" s="543"/>
      <c r="U16" s="543"/>
      <c r="V16" s="543"/>
      <c r="W16" s="491"/>
    </row>
    <row r="17" spans="1:71" ht="210" customHeight="1" x14ac:dyDescent="0.25">
      <c r="A17" s="255" t="str">
        <f>IF(ISTEXT([3]IdentificaciónRiesgos!$B7),[3]IdentificaciónRiesgos!$A7,"")</f>
        <v>Intereses mutuos o recibimiento de dádivas.</v>
      </c>
      <c r="B17" s="255" t="str">
        <f>IF(ISTEXT([3]IdentificaciónRiesgos!$B7),[3]IdentificaciónRiesgos!$B7,"")</f>
        <v>Aprobar CDP que no esten en el POA (Plan Operativo Anual)</v>
      </c>
      <c r="C17" s="255" t="str">
        <f>IF(ISTEXT([3]IdentificaciónRiesgos!$B7),[3]IdentificaciónRiesgos!$C7,"")</f>
        <v>Aprobar CDP que no esten en el POA (Plan Operativo Anual), en beneficio a un particular</v>
      </c>
      <c r="D17" s="255" t="str">
        <f>IF(ISTEXT([3]IdentificaciónRiesgos!$B7),[3]IdentificaciónRiesgos!$D7,"")</f>
        <v>1. Hallazgos en auditorias de los entes de Control. 
2. Perdida de credibilidad en la gestión de la Entidad. 
3. Detrimento patrimonial.</v>
      </c>
      <c r="E17" s="249" t="str">
        <f>IF(ISTEXT([3]IdentificaciónRiesgos!$B7),VLOOKUP($C17,[3]DefiniciónRiesgos!$A$4:$F$9,6,FALSE),"")</f>
        <v>RIESGO DE CORRUPCIÓN</v>
      </c>
      <c r="F17" s="250">
        <f>IF(ISTEXT([3]IdentificaciónRiesgos!$B7),IF(EXACT([3]AnálisisRiesgos!$B10,"X"),5,IF(EXACT([3]AnálisisRiesgos!$C10,"X"),4,IF(EXACT([3]AnálisisRiesgos!$D10,"X"),3,IF(EXACT([3]AnálisisRiesgos!$E10,"X"),2,IF(EXACT([3]AnálisisRiesgos!$F10,"X"),1,""))))),"")</f>
        <v>1</v>
      </c>
      <c r="G17" s="250" t="str">
        <f>IF(EXACT($F17,5),"Casí Seguro",IF(EXACT($F17,4),"Probable",IF(EXACT($F17,3),"Posible",IF(EXACT($F17,2),"Improbable","Rara Vez"))))</f>
        <v>Rara Vez</v>
      </c>
      <c r="H17" s="251">
        <f>IF(EXACT($B17,""),"",IF(EXACT($E17,"RIESGO DE GESTIÓN"),IF(EXACT([3]AnálisisRiesgos!$G10,"X"),5,IF(EXACT([3]AnálisisRiesgos!$H10,"X"),4,IF(EXACT([3]AnálisisRiesgos!$I10,"X"),3,IF(EXACT([3]AnálisisRiesgos!$J10,"X"),2,1)))),IF(EXACT([3]AnálisisRiesgos!$L10,"X"),20,IF(EXACT([3]AnálisisRiesgos!$M10,"X"),10,5))))</f>
        <v>10</v>
      </c>
      <c r="I17" s="251" t="str">
        <f>IF(EXACT($E17,"RIESGO DE GESTIÓN"),IF(EXACT($H17,1),"Insignificante",IF(EXACT($H17,2),"Menor",IF(EXACT($H17,3),"Moderado",IF(EXACT($H17,4),"Mayor","Catastrófico")))),IF(EXACT($H17,5),"Moderado",IF(EXACT($H17,10),"Mayor","Catastrófico")))</f>
        <v>Mayor</v>
      </c>
      <c r="J17" s="252" t="s">
        <v>39</v>
      </c>
      <c r="K17" s="215" t="s">
        <v>146</v>
      </c>
      <c r="L17" s="588" t="s">
        <v>9</v>
      </c>
      <c r="M17" s="589"/>
      <c r="N17" s="252" t="s">
        <v>39</v>
      </c>
      <c r="O17" s="253" t="s">
        <v>89</v>
      </c>
      <c r="P17" s="254" t="s">
        <v>63</v>
      </c>
      <c r="Q17" s="230" t="s">
        <v>147</v>
      </c>
      <c r="R17" s="254" t="s">
        <v>148</v>
      </c>
      <c r="S17" s="256"/>
      <c r="T17" s="348"/>
      <c r="U17" s="460" t="s">
        <v>202</v>
      </c>
      <c r="V17" s="448" t="s">
        <v>203</v>
      </c>
      <c r="W17" s="448"/>
      <c r="X17" s="182"/>
      <c r="Y17" s="26" t="str">
        <f>IF(AND(F17=1,H17=5),$H$24,IF(AND(F17=1,H17=10),$J$24,IF(AND(F17=1,H17=20),$K$24," ")))</f>
        <v>B</v>
      </c>
      <c r="Z17" s="26" t="str">
        <f>IF(AND(F17=2,H17=5),$H$25,IF(AND(F17=2,H17=10),$J$25,IF(AND(F17=2,H17=20),$K$25," ")))</f>
        <v xml:space="preserve"> </v>
      </c>
      <c r="AA17" s="26" t="str">
        <f>IF(AND(F17=3,H17=5),$H$26,IF(AND(F17=3,H17=10),$J$26,IF(AND(F17=3,H17=20),$K$26," ")))</f>
        <v xml:space="preserve"> </v>
      </c>
      <c r="AB17" s="26" t="str">
        <f>IF(AND(F17=4,H17=5),$H$27,IF(AND(F17=4,H17=10),$J$27,IF(AND(F17=4,H17=20),$K$27," ")))</f>
        <v xml:space="preserve"> </v>
      </c>
      <c r="AC17" s="26" t="str">
        <f>IF(AND(F17=5,H17=5),$H$28,IF(AND(F17=5,H17=10),$J$28,IF(AND(F17=5,H17=20),$K$28," ")))</f>
        <v xml:space="preserve"> </v>
      </c>
      <c r="AF17" s="26" t="str">
        <f>IF(AND(L17&gt;0,[2]EvaluaciónRiesgoCorrup!$F$11&gt;75,F17=1,H17=5),$H$24,IF(AND(L17&gt;0,[2]EvaluaciónRiesgoCorrup!$F$11&gt;75,F17=1,H17=10),$J$24,IF(AND(L17&gt;0,[2]EvaluaciónRiesgoCorrup!$F$11&gt;75,F17=1,H17=20),$K$24," ")))</f>
        <v>B</v>
      </c>
      <c r="AG17" s="26" t="str">
        <f>IF(AND(L17&gt;0,[2]EvaluaciónRiesgoCorrup!$F$11&gt;75,F17=2,H17=5),$H$24,IF(AND(L17&gt;0,[2]EvaluaciónRiesgoCorrup!$F$11&gt;75,F17=2,H17=10),$J$24,IF(AND(L17&gt;0,[2]EvaluaciónRiesgoCorrup!$F$11&gt;75,F17=2,H17=20),$K$24," ")))</f>
        <v xml:space="preserve"> </v>
      </c>
      <c r="AH17" s="26" t="str">
        <f>IF(AND(L17&gt;0,[2]EvaluaciónRiesgoCorrup!$F$11&gt;75,F17=3,H17=5),$H$24,IF(AND(L17&gt;0,[2]EvaluaciónRiesgoCorrup!$F$11&gt;75,F17=3,H17=10),$J$24,IF(AND(L17&gt;0,[2]EvaluaciónRiesgoCorrup!$F$11&gt;75,F17=3,H17=20),$K$24," ")))</f>
        <v xml:space="preserve"> </v>
      </c>
      <c r="AI17" s="26" t="str">
        <f>IF(AND(L17&gt;0,[2]EvaluaciónRiesgoCorrup!$F$11&gt;75,F17=4,H17=5),$H$25,IF(AND(L17&gt;0,[2]EvaluaciónRiesgoCorrup!$F$11&gt;75,F17=4,H17=10),$J$25,IF(AND(L17&gt;0,[2]EvaluaciónRiesgoCorrup!$F$11&gt;75,F17=4,H17=20),$K$25," ")))</f>
        <v xml:space="preserve"> </v>
      </c>
      <c r="AJ17" s="26" t="str">
        <f>IF(AND(L17&gt;0,[2]EvaluaciónRiesgoCorrup!$F$11&gt;75,F17=5,H17=5),$H$26,IF(AND(L17&gt;0,[2]EvaluaciónRiesgoCorrup!$F$11&gt;75,F17=5,H17=10),$J$26,IF(AND(L17&gt;0,[2]EvaluaciónRiesgoCorrup!$F$11&gt;75,F17=5,H17=20),$K$26," ")))</f>
        <v xml:space="preserve"> </v>
      </c>
      <c r="AL17" s="26" t="str">
        <f>IF(AND(L17&gt;0,[2]EvaluaciónRiesgoCorrup!$F$11&gt;50,[2]EvaluaciónRiesgoCorrup!$F$11&lt;76,F17=1,H17=5),$H$24,IF(AND(L17&gt;0,[2]EvaluaciónRiesgoCorrup!$F$11&gt;50,[2]EvaluaciónRiesgoCorrup!$F$11&lt;76,F17=1,H17=10),$J$24,IF(AND(L17&gt;0,[2]EvaluaciónRiesgoCorrup!$F$11&gt;50,[2]EvaluaciónRiesgoCorrup!$F$11&lt;76,F17=1,H17=20),$K$24," ")))</f>
        <v xml:space="preserve"> </v>
      </c>
      <c r="AM17" s="26" t="str">
        <f>IF(AND(L17&gt;0,[2]EvaluaciónRiesgoCorrup!$F$11&gt;50,[2]EvaluaciónRiesgoCorrup!$F$11&lt;76,F17=2,H17=5),$H$24,IF(AND(L17&gt;0,[2]EvaluaciónRiesgoCorrup!$F$11&gt;50,[2]EvaluaciónRiesgoCorrup!$F$11&lt;76,F17=2,H17=10),$J$24,IF(AND(L17&gt;0,[2]EvaluaciónRiesgoCorrup!$F$11&gt;50,[2]EvaluaciónRiesgoCorrup!$F$11&lt;76,F17=2,H17=20),$K$24," ")))</f>
        <v xml:space="preserve"> </v>
      </c>
      <c r="AN17" s="26" t="str">
        <f>IF(AND(L17&gt;0,[2]EvaluaciónRiesgoCorrup!$F$11&gt;50,[2]EvaluaciónRiesgoCorrup!$F$11&lt;76,F17=3,H17=5),$H$25,IF(AND(L17&gt;0,[2]EvaluaciónRiesgoCorrup!$F$11&gt;50,[2]EvaluaciónRiesgoCorrup!$F$11&lt;76,F17=3,H17=10),$J$25,IF(AND(L17&gt;0,[2]EvaluaciónRiesgoCorrup!$F$11&gt;50,[2]EvaluaciónRiesgoCorrup!$F$11&lt;76,F17=3,H17=20),$K$25," ")))</f>
        <v xml:space="preserve"> </v>
      </c>
      <c r="AO17" s="26" t="str">
        <f>IF(AND(L17&gt;0,[2]EvaluaciónRiesgoCorrup!$F$11&gt;50,[2]EvaluaciónRiesgoCorrup!$F$11&lt;76,F17=4,H17=5),$H$26,IF(AND(L17&gt;0,[2]EvaluaciónRiesgoCorrup!$F$11&gt;50,[2]EvaluaciónRiesgoCorrup!$F$11&lt;76,F17=4,H17=10),$J$26,IF(AND(L17&gt;0,[2]EvaluaciónRiesgoCorrup!$F$11&gt;50,[2]EvaluaciónRiesgoCorrup!$F$11&lt;76,F17=4,H17=20),$K$26," ")))</f>
        <v xml:space="preserve"> </v>
      </c>
      <c r="AP17" s="26" t="str">
        <f>IF(AND(L17&gt;0,[2]EvaluaciónRiesgoCorrup!$F$11&gt;50,[2]EvaluaciónRiesgoCorrup!$F$11&lt;76,F17=5,H17=5),$H$27,IF(AND(L17&gt;0,[2]EvaluaciónRiesgoCorrup!$F$11&gt;50,[2]EvaluaciónRiesgoCorrup!$F$11&lt;76,F17=5,H17=10),$J$27,IF(AND(L17&gt;0,[2]EvaluaciónRiesgoCorrup!$F$11&gt;50,[2]EvaluaciónRiesgoCorrup!$F$11&lt;76,F17=5,H17=20),$K$27," ")))</f>
        <v xml:space="preserve"> </v>
      </c>
      <c r="AS17" s="26" t="str">
        <f>IF(AND(L17&gt;0,[2]EvaluaciónRiesgoCorrup!$F$11&lt;51,F17=1,H17=5),$H$24,IF(AND(L17&gt;0,[2]EvaluaciónRiesgoCorrup!$F$11&lt;51,F17=1,H17=10),$J$24,IF(AND(L17&gt;0,[2]EvaluaciónRiesgoCorrup!$F$11&lt;51,F17=1,H17=20),K$24," ")))</f>
        <v xml:space="preserve"> </v>
      </c>
      <c r="AT17" s="26" t="str">
        <f>IF(AND(L17&gt;0,[2]EvaluaciónRiesgoCorrup!$F$11&lt;51,F17=2,H17=5),$H$25,IF(AND(L17&gt;0,[2]EvaluaciónRiesgoCorrup!$F$11&lt;51,F17=2,H17=10),$J$25,IF(AND(L17&gt;0,[2]EvaluaciónRiesgoCorrup!$F$11&lt;51,F17=2,H17=20),K$25," ")))</f>
        <v xml:space="preserve"> </v>
      </c>
      <c r="AU17" s="26" t="str">
        <f>IF(AND(L17&gt;0,[2]EvaluaciónRiesgoCorrup!$F$11&lt;51,F17=3,H17=5),$H$26,IF(AND(L17&gt;0,[2]EvaluaciónRiesgoCorrup!$F$11&lt;51,F17=3,H17=10),$J$26,IF(AND(L17&gt;0,[2]EvaluaciónRiesgoCorrup!$F$11&lt;51,F17=3,H17=20),K$26," ")))</f>
        <v xml:space="preserve"> </v>
      </c>
      <c r="AV17" s="26" t="str">
        <f>IF(AND(L17&gt;0,[2]EvaluaciónRiesgoCorrup!$F$11&lt;51,F17=4,H17=5),$H$27,IF(AND(L17&gt;0,[2]EvaluaciónRiesgoCorrup!$F$11&lt;51,F17=4,H17=10),$J$27,IF(AND(L17&gt;0,[2]EvaluaciónRiesgoCorrup!$F$11&lt;51,F17=4,H17=20),K$27," ")))</f>
        <v xml:space="preserve"> </v>
      </c>
      <c r="AW17" s="26" t="str">
        <f>IF(AND(L17&gt;0,[2]EvaluaciónRiesgoCorrup!$F$11&lt;51,F17=5,H17=5),$H$28,IF(AND(L17&gt;0,[2]EvaluaciónRiesgoCorrup!$F$11&lt;51,F17=5,H17=10),$J$28,IF(AND(L17&gt;0,[2]EvaluaciónRiesgoCorrup!$F$11&lt;51,F17=5,H17=20),K$28," ")))</f>
        <v xml:space="preserve"> </v>
      </c>
      <c r="BA17" s="26" t="str">
        <f>IF(AND(M17&gt;0,[2]EvaluaciónRiesgoCorrup!$F$11&gt;75,F17=1,H17=5),$H$24,IF(AND(M17&gt;0,[2]EvaluaciónRiesgoCorrup!$F$11&gt;75,F17=1,H17=10),$H$24,IF(AND(M17&gt;0,[2]EvaluaciónRiesgoCorrup!$F$11&gt;75,F17=1,H17=20),$H$24," ")))</f>
        <v xml:space="preserve"> </v>
      </c>
      <c r="BB17" s="26" t="str">
        <f>IF(AND(M17&gt;0,[2]EvaluaciónRiesgoCorrup!$F$11&gt;75,F17=2,H17=5),$H$25,IF(AND(M17&gt;0,[2]EvaluaciónRiesgoCorrup!$F$11&gt;75,F17=2,H17=10),$H$25,IF(AND(M17&gt;0,[2]EvaluaciónRiesgoCorrup!$F$11&gt;75,F17=2,H17=20),$H$25," ")))</f>
        <v xml:space="preserve"> </v>
      </c>
      <c r="BC17" s="26" t="str">
        <f>IF(AND(M17&gt;0,[2]EvaluaciónRiesgoCorrup!$F$11&gt;75,F17=3,H17=5),$H$26,IF(AND(M17&gt;0,[2]EvaluaciónRiesgoCorrup!$F$11&gt;75,F17=3,H17=10),$H$26,IF(AND(M17&gt;0,[2]EvaluaciónRiesgoCorrup!$F$11&gt;75,F17=3,H17=20),$H$26," ")))</f>
        <v xml:space="preserve"> </v>
      </c>
      <c r="BD17" s="26" t="str">
        <f>IF(AND(M17&gt;0,[2]EvaluaciónRiesgoCorrup!$F$11&gt;75,F17=4,H17=5),$H$27,IF(AND(M17&gt;0,[2]EvaluaciónRiesgoCorrup!$F$11&gt;75,F17=4,H17=10),$H$27,IF(AND(M17&gt;0,[2]EvaluaciónRiesgoCorrup!$F$11&gt;75,F17=4,H17=20),$H$27," ")))</f>
        <v xml:space="preserve"> </v>
      </c>
      <c r="BE17" s="26" t="str">
        <f>IF(AND(M17&gt;0,[2]EvaluaciónRiesgoCorrup!$F$11&gt;75,F17=5,H17=5),$H$28,IF(AND(M17&gt;0,[2]EvaluaciónRiesgoCorrup!$F$11&gt;75,F17=5,H17=10),$H$28,IF(AND(M17&gt;0,[2]EvaluaciónRiesgoCorrup!$F$11&gt;75,F17=5,H17=20),$H$28," ")))</f>
        <v xml:space="preserve"> </v>
      </c>
      <c r="BH17" s="26" t="str">
        <f>IF(AND(M17&gt;0,[2]EvaluaciónRiesgoCorrup!$F$11&gt;50,[2]EvaluaciónRiesgoCorrup!$F$11&lt;76,F17=1,H17=5),$H$24,IF(AND(M17&gt;0,[2]EvaluaciónRiesgoCorrup!$F$11&gt;50,[2]EvaluaciónRiesgoCorrup!$F$11&lt;76,F17=1,H17=10),$H$24,IF(AND(M17&gt;0,[2]EvaluaciónRiesgoCorrup!$F$11&gt;50,[2]EvaluaciónRiesgoCorrup!$F$11&lt;76,F17=1,H17=20),$J$24," ")))</f>
        <v xml:space="preserve"> </v>
      </c>
      <c r="BI17" s="26" t="str">
        <f>IF(AND(M17&gt;0,[2]EvaluaciónRiesgoCorrup!$F$11&gt;50,[2]EvaluaciónRiesgoCorrup!$F$11&lt;76,F17=2,H17=5),$H$25,IF(AND(M17&gt;0,[2]EvaluaciónRiesgoCorrup!$F$11&gt;50,[2]EvaluaciónRiesgoCorrup!$F$11&lt;76,F17=2,H17=10),$H$25,IF(AND(M17&gt;0,[2]EvaluaciónRiesgoCorrup!$F$11&gt;50,[2]EvaluaciónRiesgoCorrup!$F$11&lt;76,F17=2,H17=20),$J$25," ")))</f>
        <v xml:space="preserve"> </v>
      </c>
      <c r="BJ17" s="26" t="str">
        <f>IF(AND(M17&gt;0,[2]EvaluaciónRiesgoCorrup!$F$11&gt;50,[2]EvaluaciónRiesgoCorrup!$F$11&lt;76,F17=3,H17=5),$H$26,IF(AND(M17&gt;0,[2]EvaluaciónRiesgoCorrup!$F$11&gt;50,[2]EvaluaciónRiesgoCorrup!$F$11&lt;76,F17=3,H17=10),$H$26,IF(AND(M17&gt;0,[2]EvaluaciónRiesgoCorrup!$F$11&gt;50,[2]EvaluaciónRiesgoCorrup!$F$11&lt;76,F17=3,H17=20),$J$26," ")))</f>
        <v xml:space="preserve"> </v>
      </c>
      <c r="BK17" s="26" t="str">
        <f>IF(AND(M17&gt;0,[2]EvaluaciónRiesgoCorrup!$F$11&gt;50,[2]EvaluaciónRiesgoCorrup!$F$11&lt;76,F17=4,H17=5),$H$27,IF(AND(M17&gt;0,[2]EvaluaciónRiesgoCorrup!$F$11&gt;50,[2]EvaluaciónRiesgoCorrup!$F$11&lt;76,F17=4,H17=10),$H$27,IF(AND(M17&gt;0,[2]EvaluaciónRiesgoCorrup!$F$11&gt;50,[2]EvaluaciónRiesgoCorrup!$F$11&lt;76,F17=4,H17=20),$J$27," ")))</f>
        <v xml:space="preserve"> </v>
      </c>
      <c r="BL17" s="26" t="str">
        <f>IF(AND(M17&gt;0,[2]EvaluaciónRiesgoCorrup!$F$11&gt;50,[2]EvaluaciónRiesgoCorrup!$F$11&lt;76,F17=5,H17=5),$H$28,IF(AND(M17&gt;0,[2]EvaluaciónRiesgoCorrup!$F$11&gt;50,[2]EvaluaciónRiesgoCorrup!$F$11&lt;76,F17=5,H17=10),$H$28,IF(AND(M17&gt;0,[2]EvaluaciónRiesgoCorrup!$F$11&gt;50,[2]EvaluaciónRiesgoCorrup!$F$11&lt;76,F17=5,H17=20),$J$28," ")))</f>
        <v xml:space="preserve"> </v>
      </c>
      <c r="BO17" s="26" t="str">
        <f>IF(AND(M17&gt;0,[2]EvaluaciónRiesgoCorrup!$F$11&lt;51,F17=1,H17=5),$H$24,IF(AND(M17&gt;0,[2]EvaluaciónRiesgoCorrup!$F$11&lt;51,F17=1,H17=10),$J$24,IF(AND(M17&gt;0,[2]EvaluaciónRiesgoCorrup!$F$11&lt;51,F17=1,H17=20),$K$24," ")))</f>
        <v xml:space="preserve"> </v>
      </c>
      <c r="BP17" s="26" t="str">
        <f>IF(AND(M17&gt;0,[2]EvaluaciónRiesgoCorrup!$F$11&lt;51,F17=2,H17=5),$H$25,IF(AND(M17&gt;0,[2]EvaluaciónRiesgoCorrup!$F$11&lt;51,F17=2,H17=10),$J$25,IF(AND(M17&gt;0,[2]EvaluaciónRiesgoCorrup!$F$11&lt;51,F17=2,H17=20),$K$25," ")))</f>
        <v xml:space="preserve"> </v>
      </c>
      <c r="BQ17" s="26" t="str">
        <f>IF(AND(M17&gt;0,[2]EvaluaciónRiesgoCorrup!$F$11&lt;51,F17=3,H17=5),$H$26,IF(AND(M17&gt;0,[2]EvaluaciónRiesgoCorrup!$F$11&lt;51,F17=3,H17=10),$J$26,IF(AND(M17&gt;0,[2]EvaluaciónRiesgoCorrup!$F$11&lt;51,F17=3,H17=20),$K$26," ")))</f>
        <v xml:space="preserve"> </v>
      </c>
      <c r="BR17" s="26" t="str">
        <f>IF(AND(M17&gt;0,[2]EvaluaciónRiesgoCorrup!$F$11&lt;51,F17=4,H17=5),$H$27,IF(AND(M17&gt;0,[2]EvaluaciónRiesgoCorrup!$F$11&lt;51,F17=4,H17=10),$J$27,IF(AND(M17&gt;0,[2]EvaluaciónRiesgoCorrup!$F$11&lt;51,F17=4,H17=20),$K$27," ")))</f>
        <v xml:space="preserve"> </v>
      </c>
      <c r="BS17" s="26" t="str">
        <f>IF(AND(M17&gt;0,[2]EvaluaciónRiesgoCorrup!$F$11&lt;51,F17=5,H17=5),$H$28,IF(AND(M17&gt;0,[2]EvaluaciónRiesgoCorrup!$F$11&lt;51,F17=5,H17=10),$J$28,IF(AND(M17&gt;0,[2]EvaluaciónRiesgoCorrup!$F$11&lt;51,F17=5,H17=20),$K$28," ")))</f>
        <v xml:space="preserve"> </v>
      </c>
    </row>
    <row r="18" spans="1:71" s="115" customFormat="1" ht="153.75" customHeight="1" x14ac:dyDescent="0.25">
      <c r="A18" s="345"/>
      <c r="B18" s="345"/>
      <c r="C18" s="345"/>
      <c r="D18" s="345"/>
      <c r="E18" s="395"/>
      <c r="F18" s="396"/>
      <c r="G18" s="396"/>
      <c r="H18" s="177"/>
      <c r="I18" s="177"/>
      <c r="J18" s="397"/>
      <c r="K18" s="398"/>
      <c r="L18" s="399"/>
      <c r="M18" s="399"/>
      <c r="N18" s="397"/>
      <c r="O18" s="400"/>
      <c r="P18" s="401"/>
      <c r="Q18" s="402"/>
      <c r="R18" s="401"/>
      <c r="S18" s="403"/>
      <c r="T18" s="404"/>
      <c r="U18" s="401"/>
      <c r="V18" s="405"/>
      <c r="W18" s="405"/>
      <c r="X18" s="182"/>
      <c r="Y18" s="6"/>
      <c r="Z18" s="6"/>
      <c r="AA18" s="6"/>
      <c r="AB18" s="6"/>
      <c r="AC18" s="6"/>
      <c r="AF18" s="6"/>
      <c r="AG18" s="6"/>
      <c r="AH18" s="6"/>
      <c r="AI18" s="6"/>
      <c r="AJ18" s="6"/>
      <c r="AL18" s="6"/>
      <c r="AM18" s="6"/>
      <c r="AN18" s="6"/>
      <c r="AO18" s="6"/>
      <c r="AP18" s="6"/>
      <c r="AS18" s="6"/>
      <c r="AT18" s="6"/>
      <c r="AU18" s="6"/>
      <c r="AV18" s="6"/>
      <c r="AW18" s="6"/>
      <c r="BA18" s="6"/>
      <c r="BB18" s="6"/>
      <c r="BC18" s="6"/>
      <c r="BD18" s="6"/>
      <c r="BE18" s="6"/>
      <c r="BH18" s="6"/>
      <c r="BI18" s="6"/>
      <c r="BJ18" s="6"/>
      <c r="BK18" s="6"/>
      <c r="BL18" s="6"/>
      <c r="BO18" s="6"/>
      <c r="BP18" s="6"/>
      <c r="BQ18" s="6"/>
      <c r="BR18" s="6"/>
      <c r="BS18" s="6"/>
    </row>
    <row r="19" spans="1:71" x14ac:dyDescent="0.25">
      <c r="A19" s="52"/>
      <c r="B19" s="22"/>
      <c r="C19" s="124"/>
      <c r="D19" s="22"/>
      <c r="E19" s="78"/>
    </row>
    <row r="20" spans="1:71" x14ac:dyDescent="0.25">
      <c r="A20" s="26"/>
      <c r="B20" s="28"/>
      <c r="C20" s="126"/>
      <c r="D20" s="28"/>
      <c r="E20" s="139"/>
    </row>
    <row r="21" spans="1:71" ht="15" thickBot="1" x14ac:dyDescent="0.3">
      <c r="A21" s="26"/>
      <c r="B21" s="28"/>
      <c r="C21" s="126"/>
      <c r="D21" s="28"/>
      <c r="E21" s="139"/>
      <c r="H21" s="30"/>
      <c r="I21" s="140"/>
      <c r="J21" s="30"/>
    </row>
    <row r="22" spans="1:71" ht="15.75" thickBot="1" x14ac:dyDescent="0.3">
      <c r="A22" s="6"/>
      <c r="B22" s="31"/>
      <c r="C22" s="139"/>
      <c r="D22" s="31"/>
      <c r="E22" s="139"/>
      <c r="F22" s="544" t="s">
        <v>25</v>
      </c>
      <c r="G22" s="77"/>
      <c r="H22" s="546" t="s">
        <v>9</v>
      </c>
      <c r="I22" s="546"/>
      <c r="J22" s="546"/>
      <c r="K22" s="547"/>
      <c r="L22" s="2"/>
      <c r="Q22" s="5"/>
      <c r="S22" s="2"/>
    </row>
    <row r="23" spans="1:71" ht="32.25" customHeight="1" thickBot="1" x14ac:dyDescent="0.3">
      <c r="A23" s="5"/>
      <c r="B23" s="32" t="s">
        <v>33</v>
      </c>
      <c r="C23" s="127"/>
      <c r="D23" s="32"/>
      <c r="E23" s="127"/>
      <c r="F23" s="545"/>
      <c r="G23" s="163"/>
      <c r="H23" s="33" t="s">
        <v>34</v>
      </c>
      <c r="I23" s="128"/>
      <c r="J23" s="34" t="s">
        <v>35</v>
      </c>
      <c r="K23" s="33" t="s">
        <v>36</v>
      </c>
      <c r="L23" s="2"/>
      <c r="Q23" s="5"/>
      <c r="S23" s="2"/>
    </row>
    <row r="24" spans="1:71" ht="15.75" thickBot="1" x14ac:dyDescent="0.3">
      <c r="B24" s="5" t="s">
        <v>37</v>
      </c>
      <c r="C24" s="118"/>
      <c r="F24" s="35" t="s">
        <v>38</v>
      </c>
      <c r="G24" s="129"/>
      <c r="H24" s="36" t="s">
        <v>39</v>
      </c>
      <c r="I24" s="130"/>
      <c r="J24" s="36" t="s">
        <v>39</v>
      </c>
      <c r="K24" s="37" t="s">
        <v>40</v>
      </c>
      <c r="L24" s="2"/>
      <c r="Q24" s="5"/>
      <c r="S24" s="2"/>
    </row>
    <row r="25" spans="1:71" ht="15.75" thickBot="1" x14ac:dyDescent="0.3">
      <c r="F25" s="35" t="s">
        <v>41</v>
      </c>
      <c r="G25" s="129"/>
      <c r="H25" s="36" t="s">
        <v>39</v>
      </c>
      <c r="I25" s="130"/>
      <c r="J25" s="37" t="s">
        <v>40</v>
      </c>
      <c r="K25" s="38" t="s">
        <v>42</v>
      </c>
      <c r="L25" s="2"/>
      <c r="Q25" s="5"/>
      <c r="S25" s="2"/>
    </row>
    <row r="26" spans="1:71" ht="15.75" thickBot="1" x14ac:dyDescent="0.3">
      <c r="F26" s="35" t="s">
        <v>43</v>
      </c>
      <c r="G26" s="129"/>
      <c r="H26" s="37" t="s">
        <v>40</v>
      </c>
      <c r="I26" s="131"/>
      <c r="J26" s="38" t="s">
        <v>42</v>
      </c>
      <c r="K26" s="39" t="s">
        <v>44</v>
      </c>
      <c r="L26" s="2"/>
      <c r="Q26" s="5"/>
      <c r="S26" s="2"/>
    </row>
    <row r="27" spans="1:71" ht="15.75" thickBot="1" x14ac:dyDescent="0.3">
      <c r="F27" s="35" t="s">
        <v>45</v>
      </c>
      <c r="G27" s="129"/>
      <c r="H27" s="37" t="s">
        <v>40</v>
      </c>
      <c r="I27" s="131"/>
      <c r="J27" s="38" t="s">
        <v>42</v>
      </c>
      <c r="K27" s="39" t="s">
        <v>44</v>
      </c>
      <c r="L27" s="2"/>
      <c r="Q27" s="5"/>
      <c r="S27" s="2"/>
    </row>
    <row r="28" spans="1:71" ht="15.75" thickBot="1" x14ac:dyDescent="0.3">
      <c r="F28" s="35" t="s">
        <v>46</v>
      </c>
      <c r="G28" s="129"/>
      <c r="H28" s="37" t="s">
        <v>40</v>
      </c>
      <c r="I28" s="131"/>
      <c r="J28" s="38" t="s">
        <v>42</v>
      </c>
      <c r="K28" s="39" t="s">
        <v>44</v>
      </c>
      <c r="L28" s="2"/>
      <c r="Q28" s="5"/>
      <c r="S28" s="2"/>
    </row>
    <row r="29" spans="1:71" x14ac:dyDescent="0.25">
      <c r="F29" s="2"/>
      <c r="G29" s="115"/>
      <c r="H29" s="2"/>
      <c r="I29" s="115"/>
      <c r="J29" s="2"/>
      <c r="K29" s="5"/>
      <c r="M29" s="5"/>
    </row>
    <row r="30" spans="1:71" ht="15" x14ac:dyDescent="0.25">
      <c r="F30" s="40" t="s">
        <v>47</v>
      </c>
      <c r="G30" s="132"/>
      <c r="H30" s="2"/>
      <c r="I30" s="115"/>
      <c r="J30" s="2"/>
      <c r="K30" s="5"/>
      <c r="M30" s="5"/>
      <c r="N30" s="5"/>
      <c r="O30" s="118"/>
      <c r="P30" s="5"/>
    </row>
    <row r="31" spans="1:71" ht="15" x14ac:dyDescent="0.25">
      <c r="F31" s="41" t="s">
        <v>48</v>
      </c>
      <c r="G31" s="133"/>
      <c r="H31" s="2"/>
      <c r="I31" s="115"/>
      <c r="J31" s="2"/>
      <c r="K31" s="5"/>
      <c r="M31" s="5"/>
      <c r="N31" s="5"/>
      <c r="O31" s="118"/>
      <c r="P31" s="5"/>
    </row>
    <row r="32" spans="1:71" ht="15" x14ac:dyDescent="0.25">
      <c r="F32" s="42" t="s">
        <v>49</v>
      </c>
      <c r="G32" s="134"/>
      <c r="H32" s="2"/>
      <c r="I32" s="115"/>
      <c r="J32" s="2"/>
      <c r="K32" s="5"/>
      <c r="M32" s="5"/>
      <c r="N32" s="5"/>
      <c r="O32" s="118"/>
      <c r="P32" s="5"/>
    </row>
    <row r="33" spans="6:16" ht="15" x14ac:dyDescent="0.25">
      <c r="F33" s="43" t="s">
        <v>50</v>
      </c>
      <c r="G33" s="135"/>
      <c r="H33" s="2"/>
      <c r="I33" s="115"/>
      <c r="J33" s="2"/>
      <c r="K33" s="5"/>
      <c r="M33" s="5"/>
      <c r="N33" s="5"/>
      <c r="O33" s="118"/>
      <c r="P33" s="5"/>
    </row>
  </sheetData>
  <mergeCells count="35">
    <mergeCell ref="T15:T16"/>
    <mergeCell ref="U15:U16"/>
    <mergeCell ref="V15:V16"/>
    <mergeCell ref="F22:F23"/>
    <mergeCell ref="H22:K22"/>
    <mergeCell ref="P15:R15"/>
    <mergeCell ref="L17:M17"/>
    <mergeCell ref="A12:D12"/>
    <mergeCell ref="F12:V12"/>
    <mergeCell ref="AH13:AZ13"/>
    <mergeCell ref="BB13:BU13"/>
    <mergeCell ref="A14:D14"/>
    <mergeCell ref="F14:H14"/>
    <mergeCell ref="K14:K16"/>
    <mergeCell ref="L14:N14"/>
    <mergeCell ref="P14:R14"/>
    <mergeCell ref="S14:V14"/>
    <mergeCell ref="A15:A16"/>
    <mergeCell ref="B15:B16"/>
    <mergeCell ref="D15:D16"/>
    <mergeCell ref="F15:H15"/>
    <mergeCell ref="L15:N15"/>
    <mergeCell ref="S15:S16"/>
    <mergeCell ref="A6:D6"/>
    <mergeCell ref="F6:V6"/>
    <mergeCell ref="A8:D8"/>
    <mergeCell ref="F8:V8"/>
    <mergeCell ref="A10:D10"/>
    <mergeCell ref="F10:V10"/>
    <mergeCell ref="A1:D4"/>
    <mergeCell ref="F1:T4"/>
    <mergeCell ref="U1:V1"/>
    <mergeCell ref="U2:V2"/>
    <mergeCell ref="U3:V3"/>
    <mergeCell ref="U4:V4"/>
  </mergeCells>
  <conditionalFormatting sqref="J17:J18 N17:N18">
    <cfRule type="containsText" dxfId="115" priority="5" operator="containsText" text="E">
      <formula>NOT(ISERROR(SEARCH("E",J17)))</formula>
    </cfRule>
    <cfRule type="containsText" dxfId="114" priority="6" operator="containsText" text="M">
      <formula>NOT(ISERROR(SEARCH("M",J17)))</formula>
    </cfRule>
    <cfRule type="containsText" dxfId="113" priority="7" operator="containsText" text="A">
      <formula>NOT(ISERROR(SEARCH("A",J17)))</formula>
    </cfRule>
    <cfRule type="containsText" dxfId="112" priority="8" operator="containsText" text="B">
      <formula>NOT(ISERROR(SEARCH("B",J17)))</formula>
    </cfRule>
  </conditionalFormatting>
  <dataValidations count="3">
    <dataValidation type="list" allowBlank="1" showInputMessage="1" showErrorMessage="1" sqref="L19:O19">
      <formula1>#REF!</formula1>
    </dataValidation>
    <dataValidation type="list" allowBlank="1" showInputMessage="1" showErrorMessage="1" sqref="P19:Q19">
      <formula1>$J$30:$J$33</formula1>
    </dataValidation>
    <dataValidation type="list" allowBlank="1" showInputMessage="1" showErrorMessage="1" promptTitle="AFECTA A:" prompt="Seleccione según a quien afecte el control" sqref="L17:M18">
      <formula1>#REF!</formula1>
    </dataValidation>
  </dataValidations>
  <pageMargins left="0.7" right="0.7" top="0.75" bottom="0.75" header="0.3" footer="0.3"/>
  <pageSetup scale="1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33"/>
  <sheetViews>
    <sheetView showGridLines="0" view="pageBreakPreview" topLeftCell="U16" zoomScale="120" zoomScaleNormal="70" zoomScaleSheetLayoutView="120" workbookViewId="0">
      <selection activeCell="V17" sqref="V17"/>
    </sheetView>
  </sheetViews>
  <sheetFormatPr baseColWidth="10" defaultColWidth="11.42578125" defaultRowHeight="14.25" x14ac:dyDescent="0.25"/>
  <cols>
    <col min="1" max="1" width="41.28515625" style="2" customWidth="1"/>
    <col min="2" max="2" width="40.42578125" style="2" customWidth="1"/>
    <col min="3" max="3" width="40.42578125" style="115" customWidth="1"/>
    <col min="4" max="4" width="40.42578125" style="2" customWidth="1"/>
    <col min="5" max="5" width="40.42578125" style="115" customWidth="1"/>
    <col min="6" max="6" width="27" style="5" customWidth="1"/>
    <col min="7" max="7" width="27" style="118" customWidth="1"/>
    <col min="8" max="8" width="19" style="5" customWidth="1"/>
    <col min="9" max="9" width="19" style="118" customWidth="1"/>
    <col min="10" max="10" width="26.7109375" style="5" customWidth="1"/>
    <col min="11" max="11" width="29.7109375" style="2" customWidth="1"/>
    <col min="12" max="12" width="29.7109375" style="115" customWidth="1"/>
    <col min="13" max="13" width="20.85546875" style="5" customWidth="1"/>
    <col min="14" max="14" width="18.5703125" style="2" customWidth="1"/>
    <col min="15" max="15" width="21.7109375" style="2" customWidth="1"/>
    <col min="16" max="16" width="21.7109375" style="115" customWidth="1"/>
    <col min="17" max="17" width="19.85546875" style="2" customWidth="1"/>
    <col min="18" max="18" width="53" style="2" customWidth="1"/>
    <col min="19" max="19" width="24.5703125" style="2" customWidth="1"/>
    <col min="20" max="20" width="36.42578125" style="5" customWidth="1"/>
    <col min="21" max="21" width="160.7109375" style="2" customWidth="1"/>
    <col min="22" max="23" width="30.42578125" style="2" customWidth="1"/>
    <col min="24" max="24" width="115.85546875" style="441" customWidth="1"/>
    <col min="25" max="25" width="232.5703125" style="2" customWidth="1"/>
    <col min="26" max="26" width="36" style="2" hidden="1" customWidth="1"/>
    <col min="27" max="27" width="0" style="2" hidden="1" customWidth="1"/>
    <col min="28" max="74" width="11.42578125" style="2" hidden="1" customWidth="1"/>
    <col min="75" max="75" width="116.28515625" style="2" customWidth="1"/>
    <col min="76" max="16384" width="11.42578125" style="2"/>
  </cols>
  <sheetData>
    <row r="1" spans="1:74" ht="21" customHeight="1" x14ac:dyDescent="0.25">
      <c r="A1" s="573"/>
      <c r="B1" s="573"/>
      <c r="C1" s="573"/>
      <c r="D1" s="573"/>
      <c r="E1" s="72"/>
      <c r="F1" s="574" t="s">
        <v>0</v>
      </c>
      <c r="G1" s="575"/>
      <c r="H1" s="575"/>
      <c r="I1" s="575"/>
      <c r="J1" s="575"/>
      <c r="K1" s="575"/>
      <c r="L1" s="575"/>
      <c r="M1" s="575"/>
      <c r="N1" s="575"/>
      <c r="O1" s="575"/>
      <c r="P1" s="575"/>
      <c r="Q1" s="575"/>
      <c r="R1" s="575"/>
      <c r="S1" s="575"/>
      <c r="T1" s="575"/>
      <c r="U1" s="576"/>
      <c r="V1" s="583" t="s">
        <v>223</v>
      </c>
      <c r="W1" s="584"/>
      <c r="X1" s="450"/>
      <c r="Y1" s="1"/>
      <c r="Z1" s="1"/>
    </row>
    <row r="2" spans="1:74" ht="22.5" customHeight="1" x14ac:dyDescent="0.25">
      <c r="A2" s="573"/>
      <c r="B2" s="573"/>
      <c r="C2" s="573"/>
      <c r="D2" s="573"/>
      <c r="E2" s="73"/>
      <c r="F2" s="577"/>
      <c r="G2" s="578"/>
      <c r="H2" s="578"/>
      <c r="I2" s="578"/>
      <c r="J2" s="578"/>
      <c r="K2" s="578"/>
      <c r="L2" s="578"/>
      <c r="M2" s="578"/>
      <c r="N2" s="578"/>
      <c r="O2" s="578"/>
      <c r="P2" s="578"/>
      <c r="Q2" s="578"/>
      <c r="R2" s="578"/>
      <c r="S2" s="578"/>
      <c r="T2" s="578"/>
      <c r="U2" s="579"/>
      <c r="V2" s="583" t="s">
        <v>149</v>
      </c>
      <c r="W2" s="584"/>
      <c r="X2" s="450"/>
      <c r="Y2" s="1"/>
      <c r="Z2" s="1"/>
    </row>
    <row r="3" spans="1:74" ht="21" customHeight="1" x14ac:dyDescent="0.25">
      <c r="A3" s="573"/>
      <c r="B3" s="573"/>
      <c r="C3" s="573"/>
      <c r="D3" s="573"/>
      <c r="E3" s="73"/>
      <c r="F3" s="577"/>
      <c r="G3" s="578"/>
      <c r="H3" s="578"/>
      <c r="I3" s="578"/>
      <c r="J3" s="578"/>
      <c r="K3" s="578"/>
      <c r="L3" s="578"/>
      <c r="M3" s="578"/>
      <c r="N3" s="578"/>
      <c r="O3" s="578"/>
      <c r="P3" s="578"/>
      <c r="Q3" s="578"/>
      <c r="R3" s="578"/>
      <c r="S3" s="578"/>
      <c r="T3" s="578"/>
      <c r="U3" s="579"/>
      <c r="V3" s="583" t="s">
        <v>150</v>
      </c>
      <c r="W3" s="584"/>
      <c r="X3" s="450"/>
      <c r="Y3" s="1"/>
      <c r="Z3" s="1"/>
    </row>
    <row r="4" spans="1:74" ht="20.25" customHeight="1" x14ac:dyDescent="0.25">
      <c r="A4" s="573"/>
      <c r="B4" s="573"/>
      <c r="C4" s="573"/>
      <c r="D4" s="573"/>
      <c r="E4" s="74"/>
      <c r="F4" s="580"/>
      <c r="G4" s="581"/>
      <c r="H4" s="581"/>
      <c r="I4" s="581"/>
      <c r="J4" s="581"/>
      <c r="K4" s="581"/>
      <c r="L4" s="581"/>
      <c r="M4" s="581"/>
      <c r="N4" s="581"/>
      <c r="O4" s="581"/>
      <c r="P4" s="581"/>
      <c r="Q4" s="581"/>
      <c r="R4" s="581"/>
      <c r="S4" s="581"/>
      <c r="T4" s="581"/>
      <c r="U4" s="582"/>
      <c r="V4" s="583" t="s">
        <v>1</v>
      </c>
      <c r="W4" s="584"/>
      <c r="X4" s="450"/>
      <c r="Y4" s="1"/>
      <c r="Z4" s="1"/>
    </row>
    <row r="5" spans="1:74" ht="8.25" customHeight="1" x14ac:dyDescent="0.25">
      <c r="B5" s="3"/>
      <c r="C5" s="116"/>
      <c r="D5" s="3"/>
      <c r="E5" s="116"/>
      <c r="F5" s="4"/>
      <c r="G5" s="117"/>
      <c r="H5" s="4"/>
      <c r="I5" s="117"/>
      <c r="J5" s="4"/>
      <c r="K5" s="4"/>
      <c r="L5" s="117"/>
      <c r="M5" s="4"/>
      <c r="N5" s="4"/>
      <c r="O5" s="4"/>
      <c r="P5" s="117"/>
      <c r="Q5" s="4"/>
      <c r="R5" s="4"/>
      <c r="Y5" s="6"/>
      <c r="Z5" s="6"/>
    </row>
    <row r="6" spans="1:74" ht="15" x14ac:dyDescent="0.25">
      <c r="A6" s="553" t="s">
        <v>2</v>
      </c>
      <c r="B6" s="553"/>
      <c r="C6" s="553"/>
      <c r="D6" s="553"/>
      <c r="E6" s="75"/>
      <c r="F6" s="567" t="str">
        <f>[4]IdentRiesgo!B2</f>
        <v>Generación de Datos e Información Hidrometeorológica y Ambiental para la toma de decisiones</v>
      </c>
      <c r="G6" s="568"/>
      <c r="H6" s="568"/>
      <c r="I6" s="568"/>
      <c r="J6" s="568"/>
      <c r="K6" s="568"/>
      <c r="L6" s="568"/>
      <c r="M6" s="568"/>
      <c r="N6" s="568"/>
      <c r="O6" s="568"/>
      <c r="P6" s="568"/>
      <c r="Q6" s="568"/>
      <c r="R6" s="568"/>
      <c r="S6" s="568"/>
      <c r="T6" s="568"/>
      <c r="U6" s="568"/>
      <c r="V6" s="568"/>
      <c r="W6" s="569"/>
      <c r="X6" s="445"/>
      <c r="Y6" s="6"/>
      <c r="Z6" s="6"/>
    </row>
    <row r="7" spans="1:74" ht="6.75" customHeight="1" x14ac:dyDescent="0.25">
      <c r="B7" s="3"/>
      <c r="C7" s="116"/>
      <c r="D7" s="3"/>
      <c r="E7" s="116"/>
      <c r="F7" s="7"/>
      <c r="G7" s="121"/>
      <c r="H7" s="7"/>
      <c r="I7" s="121"/>
      <c r="J7" s="7"/>
      <c r="K7" s="7"/>
      <c r="L7" s="121"/>
      <c r="M7" s="7"/>
      <c r="N7" s="7"/>
      <c r="O7" s="7"/>
      <c r="P7" s="121"/>
      <c r="Q7" s="7"/>
      <c r="R7" s="7"/>
      <c r="S7" s="8"/>
      <c r="T7" s="8"/>
      <c r="U7" s="8"/>
      <c r="V7" s="8"/>
      <c r="W7" s="8"/>
      <c r="X7" s="444"/>
      <c r="Y7" s="6"/>
      <c r="Z7" s="6"/>
    </row>
    <row r="8" spans="1:74" ht="39.75" customHeight="1" x14ac:dyDescent="0.25">
      <c r="A8" s="553" t="s">
        <v>3</v>
      </c>
      <c r="B8" s="553"/>
      <c r="C8" s="553"/>
      <c r="D8" s="553"/>
      <c r="E8" s="75"/>
      <c r="F8" s="570" t="str">
        <f>[4]IdentRiesgo!B3</f>
        <v>Generar datos e información hidrometeorologica y ambiental que apoyen la investigación y el conocimiento como soporte para la toma de decisiones</v>
      </c>
      <c r="G8" s="571"/>
      <c r="H8" s="571"/>
      <c r="I8" s="571"/>
      <c r="J8" s="571"/>
      <c r="K8" s="571"/>
      <c r="L8" s="571"/>
      <c r="M8" s="571"/>
      <c r="N8" s="571"/>
      <c r="O8" s="571"/>
      <c r="P8" s="571"/>
      <c r="Q8" s="571"/>
      <c r="R8" s="571"/>
      <c r="S8" s="571"/>
      <c r="T8" s="571"/>
      <c r="U8" s="571"/>
      <c r="V8" s="571"/>
      <c r="W8" s="572"/>
      <c r="X8" s="451"/>
      <c r="Y8" s="9"/>
      <c r="Z8" s="9"/>
    </row>
    <row r="9" spans="1:74" ht="6.75" customHeight="1" x14ac:dyDescent="0.25">
      <c r="B9" s="10"/>
      <c r="C9" s="119"/>
      <c r="D9" s="10"/>
      <c r="E9" s="119"/>
      <c r="F9" s="11"/>
      <c r="G9" s="122"/>
      <c r="H9" s="11"/>
      <c r="I9" s="122"/>
      <c r="J9" s="11"/>
      <c r="K9" s="11"/>
      <c r="L9" s="122"/>
      <c r="M9" s="11"/>
      <c r="N9" s="11"/>
      <c r="O9" s="11"/>
      <c r="P9" s="122"/>
      <c r="Q9" s="11"/>
      <c r="R9" s="11"/>
      <c r="S9" s="8"/>
      <c r="T9" s="8"/>
      <c r="U9" s="8"/>
      <c r="V9" s="8"/>
      <c r="W9" s="8"/>
      <c r="X9" s="444"/>
      <c r="Y9" s="6"/>
      <c r="Z9" s="6"/>
    </row>
    <row r="10" spans="1:74" ht="15" x14ac:dyDescent="0.25">
      <c r="A10" s="553" t="s">
        <v>4</v>
      </c>
      <c r="B10" s="553"/>
      <c r="C10" s="553"/>
      <c r="D10" s="553"/>
      <c r="E10" s="75"/>
      <c r="F10" s="554" t="s">
        <v>61</v>
      </c>
      <c r="G10" s="555"/>
      <c r="H10" s="555"/>
      <c r="I10" s="555"/>
      <c r="J10" s="555"/>
      <c r="K10" s="555"/>
      <c r="L10" s="555"/>
      <c r="M10" s="555"/>
      <c r="N10" s="555"/>
      <c r="O10" s="555"/>
      <c r="P10" s="555"/>
      <c r="Q10" s="555"/>
      <c r="R10" s="555"/>
      <c r="S10" s="555"/>
      <c r="T10" s="555"/>
      <c r="U10" s="555"/>
      <c r="V10" s="555"/>
      <c r="W10" s="556"/>
      <c r="X10" s="443"/>
      <c r="Y10" s="12"/>
      <c r="Z10" s="12"/>
    </row>
    <row r="11" spans="1:74" ht="5.25" customHeight="1" x14ac:dyDescent="0.25">
      <c r="B11" s="3"/>
      <c r="C11" s="116"/>
      <c r="D11" s="3"/>
      <c r="E11" s="116"/>
      <c r="F11" s="13"/>
      <c r="G11" s="141"/>
      <c r="H11" s="13"/>
      <c r="I11" s="141"/>
      <c r="J11" s="13"/>
      <c r="K11" s="13"/>
      <c r="L11" s="141"/>
      <c r="M11" s="13"/>
      <c r="N11" s="13"/>
      <c r="O11" s="13"/>
      <c r="P11" s="141"/>
      <c r="Q11" s="13"/>
      <c r="R11" s="13"/>
      <c r="S11" s="8"/>
      <c r="T11" s="8"/>
      <c r="U11" s="8"/>
      <c r="V11" s="8"/>
      <c r="W11" s="8"/>
      <c r="X11" s="444"/>
      <c r="Y11" s="6"/>
      <c r="Z11" s="6"/>
    </row>
    <row r="12" spans="1:74" ht="15.75" x14ac:dyDescent="0.25">
      <c r="A12" s="553" t="s">
        <v>5</v>
      </c>
      <c r="B12" s="553"/>
      <c r="C12" s="553"/>
      <c r="D12" s="553"/>
      <c r="E12" s="75"/>
      <c r="F12" s="585">
        <v>43496</v>
      </c>
      <c r="G12" s="586"/>
      <c r="H12" s="586"/>
      <c r="I12" s="586"/>
      <c r="J12" s="586"/>
      <c r="K12" s="586"/>
      <c r="L12" s="586"/>
      <c r="M12" s="586"/>
      <c r="N12" s="586"/>
      <c r="O12" s="586"/>
      <c r="P12" s="586"/>
      <c r="Q12" s="586"/>
      <c r="R12" s="586"/>
      <c r="S12" s="586"/>
      <c r="T12" s="586"/>
      <c r="U12" s="586"/>
      <c r="V12" s="586"/>
      <c r="W12" s="586"/>
      <c r="X12" s="586"/>
      <c r="Y12" s="586"/>
      <c r="Z12" s="586"/>
      <c r="AA12" s="587"/>
      <c r="AC12" s="2" t="s">
        <v>6</v>
      </c>
    </row>
    <row r="13" spans="1:74" ht="15.75" thickBot="1" x14ac:dyDescent="0.3">
      <c r="B13" s="3"/>
      <c r="C13" s="116"/>
      <c r="D13" s="3"/>
      <c r="E13" s="116"/>
      <c r="F13" s="14"/>
      <c r="G13" s="123"/>
      <c r="H13" s="15"/>
      <c r="I13" s="120"/>
      <c r="J13" s="15"/>
      <c r="K13" s="7"/>
      <c r="L13" s="121"/>
      <c r="M13" s="15"/>
      <c r="N13" s="7"/>
      <c r="O13" s="7"/>
      <c r="P13" s="121"/>
      <c r="Q13" s="7"/>
      <c r="R13" s="7"/>
      <c r="S13" s="7"/>
      <c r="T13" s="15"/>
      <c r="U13" s="7"/>
      <c r="Y13" s="6"/>
      <c r="Z13" s="6"/>
      <c r="AC13" s="2" t="s">
        <v>7</v>
      </c>
      <c r="AI13" s="557" t="s">
        <v>8</v>
      </c>
      <c r="AJ13" s="557"/>
      <c r="AK13" s="557"/>
      <c r="AL13" s="557"/>
      <c r="AM13" s="557"/>
      <c r="AN13" s="557"/>
      <c r="AO13" s="557"/>
      <c r="AP13" s="557"/>
      <c r="AQ13" s="557"/>
      <c r="AR13" s="557"/>
      <c r="AS13" s="557"/>
      <c r="AT13" s="557"/>
      <c r="AU13" s="557"/>
      <c r="AV13" s="557"/>
      <c r="AW13" s="557"/>
      <c r="AX13" s="557"/>
      <c r="AY13" s="557"/>
      <c r="AZ13" s="557"/>
      <c r="BA13" s="557"/>
      <c r="BC13" s="557" t="s">
        <v>9</v>
      </c>
      <c r="BD13" s="557"/>
      <c r="BE13" s="557"/>
      <c r="BF13" s="557"/>
      <c r="BG13" s="557"/>
      <c r="BH13" s="557"/>
      <c r="BI13" s="557"/>
      <c r="BJ13" s="557"/>
      <c r="BK13" s="557"/>
      <c r="BL13" s="557"/>
      <c r="BM13" s="557"/>
      <c r="BN13" s="557"/>
      <c r="BO13" s="557"/>
      <c r="BP13" s="557"/>
      <c r="BQ13" s="557"/>
      <c r="BR13" s="557"/>
      <c r="BS13" s="557"/>
      <c r="BT13" s="557"/>
      <c r="BU13" s="557"/>
      <c r="BV13" s="557"/>
    </row>
    <row r="14" spans="1:74" s="17" customFormat="1" ht="15" customHeight="1" x14ac:dyDescent="0.25">
      <c r="A14" s="558" t="s">
        <v>10</v>
      </c>
      <c r="B14" s="559"/>
      <c r="C14" s="559"/>
      <c r="D14" s="560"/>
      <c r="E14" s="76"/>
      <c r="F14" s="561" t="s">
        <v>11</v>
      </c>
      <c r="G14" s="561"/>
      <c r="H14" s="561"/>
      <c r="I14" s="136"/>
      <c r="J14" s="16"/>
      <c r="K14" s="562" t="s">
        <v>12</v>
      </c>
      <c r="L14" s="80"/>
      <c r="M14" s="558" t="s">
        <v>13</v>
      </c>
      <c r="N14" s="559"/>
      <c r="O14" s="560"/>
      <c r="P14" s="262"/>
      <c r="Q14" s="565" t="s">
        <v>14</v>
      </c>
      <c r="R14" s="565"/>
      <c r="S14" s="565"/>
      <c r="T14" s="565" t="s">
        <v>15</v>
      </c>
      <c r="U14" s="565"/>
      <c r="V14" s="565"/>
      <c r="W14" s="561"/>
      <c r="X14" s="452"/>
    </row>
    <row r="15" spans="1:74" s="17" customFormat="1" ht="14.25" customHeight="1" x14ac:dyDescent="0.25">
      <c r="A15" s="563" t="s">
        <v>16</v>
      </c>
      <c r="B15" s="563" t="s">
        <v>17</v>
      </c>
      <c r="C15" s="263"/>
      <c r="D15" s="563" t="s">
        <v>18</v>
      </c>
      <c r="E15" s="263"/>
      <c r="F15" s="543" t="s">
        <v>19</v>
      </c>
      <c r="G15" s="543"/>
      <c r="H15" s="543"/>
      <c r="I15" s="266"/>
      <c r="J15" s="44"/>
      <c r="K15" s="563"/>
      <c r="L15" s="79"/>
      <c r="M15" s="548" t="s">
        <v>20</v>
      </c>
      <c r="N15" s="549"/>
      <c r="O15" s="550"/>
      <c r="P15" s="267"/>
      <c r="Q15" s="548" t="s">
        <v>21</v>
      </c>
      <c r="R15" s="549"/>
      <c r="S15" s="550"/>
      <c r="T15" s="543" t="s">
        <v>22</v>
      </c>
      <c r="U15" s="543" t="s">
        <v>23</v>
      </c>
      <c r="V15" s="543" t="s">
        <v>4</v>
      </c>
      <c r="W15" s="543" t="s">
        <v>24</v>
      </c>
      <c r="X15" s="462"/>
    </row>
    <row r="16" spans="1:74" s="17" customFormat="1" ht="63" customHeight="1" x14ac:dyDescent="0.25">
      <c r="A16" s="566"/>
      <c r="B16" s="566"/>
      <c r="C16" s="265" t="s">
        <v>70</v>
      </c>
      <c r="D16" s="566"/>
      <c r="E16" s="265" t="s">
        <v>71</v>
      </c>
      <c r="F16" s="44" t="s">
        <v>25</v>
      </c>
      <c r="G16" s="266" t="s">
        <v>70</v>
      </c>
      <c r="H16" s="44" t="s">
        <v>9</v>
      </c>
      <c r="I16" s="266" t="s">
        <v>70</v>
      </c>
      <c r="J16" s="44" t="s">
        <v>26</v>
      </c>
      <c r="K16" s="564"/>
      <c r="L16" s="264" t="s">
        <v>72</v>
      </c>
      <c r="M16" s="19" t="s">
        <v>25</v>
      </c>
      <c r="N16" s="19" t="s">
        <v>9</v>
      </c>
      <c r="O16" s="45" t="s">
        <v>26</v>
      </c>
      <c r="P16" s="265" t="s">
        <v>74</v>
      </c>
      <c r="Q16" s="44" t="s">
        <v>27</v>
      </c>
      <c r="R16" s="44" t="s">
        <v>23</v>
      </c>
      <c r="S16" s="44" t="s">
        <v>28</v>
      </c>
      <c r="T16" s="543"/>
      <c r="U16" s="543"/>
      <c r="V16" s="543"/>
      <c r="W16" s="543"/>
      <c r="X16" s="462"/>
    </row>
    <row r="17" spans="1:75" ht="409.5" customHeight="1" x14ac:dyDescent="0.25">
      <c r="A17" s="345" t="s">
        <v>190</v>
      </c>
      <c r="B17" s="166" t="s">
        <v>189</v>
      </c>
      <c r="C17" s="345" t="s">
        <v>188</v>
      </c>
      <c r="D17" s="345" t="s">
        <v>187</v>
      </c>
      <c r="E17" s="340" t="s">
        <v>186</v>
      </c>
      <c r="F17" s="341">
        <v>2</v>
      </c>
      <c r="G17" s="341" t="s">
        <v>88</v>
      </c>
      <c r="H17" s="342">
        <v>5</v>
      </c>
      <c r="I17" s="342" t="s">
        <v>80</v>
      </c>
      <c r="J17" s="157" t="s">
        <v>39</v>
      </c>
      <c r="K17" s="436" t="s">
        <v>231</v>
      </c>
      <c r="L17" s="588" t="s">
        <v>25</v>
      </c>
      <c r="M17" s="589"/>
      <c r="N17" s="25">
        <v>5</v>
      </c>
      <c r="O17" s="343" t="s">
        <v>39</v>
      </c>
      <c r="P17" s="337" t="s">
        <v>96</v>
      </c>
      <c r="Q17" s="344" t="s">
        <v>62</v>
      </c>
      <c r="R17" s="437" t="s">
        <v>232</v>
      </c>
      <c r="S17" s="438" t="s">
        <v>233</v>
      </c>
      <c r="T17" s="439"/>
      <c r="U17" s="440"/>
      <c r="V17" s="347" t="s">
        <v>265</v>
      </c>
      <c r="W17" s="523" t="s">
        <v>280</v>
      </c>
      <c r="X17" s="236"/>
      <c r="Y17" s="115"/>
      <c r="Z17" s="125" t="str">
        <f>IF(AND(F17=1,H17=5),$H$24,IF(AND(F17=1,H17=10),$J$24,IF(AND(F17=1,H17=20),$K$24," ")))</f>
        <v xml:space="preserve"> </v>
      </c>
      <c r="AA17" s="125" t="str">
        <f>IF(AND(F17=2,H17=5),$H$25,IF(AND(F17=2,H17=10),$J$25,IF(AND(F17=2,H17=20),$K$25," ")))</f>
        <v>B</v>
      </c>
      <c r="AB17" s="125" t="str">
        <f>IF(AND(F17=3,H17=5),$H$26,IF(AND(F17=3,H17=10),$J$26,IF(AND(F17=3,H17=20),$K$26," ")))</f>
        <v xml:space="preserve"> </v>
      </c>
      <c r="AC17" s="125" t="str">
        <f>IF(AND(F17=4,H17=5),$H$27,IF(AND(F17=4,H17=10),$J$27,IF(AND(F17=4,H17=20),$K$27," ")))</f>
        <v xml:space="preserve"> </v>
      </c>
      <c r="AD17" s="125" t="str">
        <f>IF(AND(F17=5,H17=5),$H$28,IF(AND(F17=5,H17=10),$J$28,IF(AND(F17=5,H17=20),$K$28," ")))</f>
        <v xml:space="preserve"> </v>
      </c>
      <c r="AE17" s="115"/>
      <c r="AF17" s="115"/>
      <c r="AG17" s="125" t="str">
        <f>IF(AND(M17&gt;0,[4]EvaluaciónRiesgoCorrup!$F$11&gt;75,F17=1,H17=5),$H$24,IF(AND(M17&gt;0,[4]EvaluaciónRiesgoCorrup!$F$11&gt;75,F17=1,H17=10),$J$24,IF(AND(M17&gt;0,[4]EvaluaciónRiesgoCorrup!$F$11&gt;75,F17=1,H17=20),$K$24," ")))</f>
        <v xml:space="preserve"> </v>
      </c>
      <c r="AH17" s="125" t="str">
        <f>IF(AND(M17&gt;0,[4]EvaluaciónRiesgoCorrup!$F$11&gt;75,F17=2,H17=5),$H$24,IF(AND(M17&gt;0,[4]EvaluaciónRiesgoCorrup!$F$11&gt;75,F17=2,H17=10),$J$24,IF(AND(M17&gt;0,[4]EvaluaciónRiesgoCorrup!$F$11&gt;75,F17=2,H17=20),$K$24," ")))</f>
        <v xml:space="preserve"> </v>
      </c>
      <c r="AI17" s="125" t="str">
        <f>IF(AND(M17&gt;0,[4]EvaluaciónRiesgoCorrup!$F$11&gt;75,F17=3,H17=5),$H$24,IF(AND(M17&gt;0,[4]EvaluaciónRiesgoCorrup!$F$11&gt;75,F17=3,H17=10),$J$24,IF(AND(M17&gt;0,[4]EvaluaciónRiesgoCorrup!$F$11&gt;75,F17=3,H17=20),$K$24," ")))</f>
        <v xml:space="preserve"> </v>
      </c>
      <c r="AJ17" s="125" t="str">
        <f>IF(AND(M17&gt;0,[4]EvaluaciónRiesgoCorrup!$F$11&gt;75,F17=4,H17=5),$H$25,IF(AND(M17&gt;0,[4]EvaluaciónRiesgoCorrup!$F$11&gt;75,F17=4,H17=10),$J$25,IF(AND(M17&gt;0,[4]EvaluaciónRiesgoCorrup!$F$11&gt;75,F17=4,H17=20),$K$25," ")))</f>
        <v xml:space="preserve"> </v>
      </c>
      <c r="AK17" s="125" t="str">
        <f>IF(AND(M17&gt;0,[4]EvaluaciónRiesgoCorrup!$F$11&gt;75,F17=5,H17=5),$H$26,IF(AND(M17&gt;0,[4]EvaluaciónRiesgoCorrup!$F$11&gt;75,F17=5,H17=10),$J$26,IF(AND(M17&gt;0,[4]EvaluaciónRiesgoCorrup!$F$11&gt;75,F17=5,H17=20),$K$26," ")))</f>
        <v xml:space="preserve"> </v>
      </c>
      <c r="AL17" s="115"/>
      <c r="AM17" s="125" t="str">
        <f>IF(AND(M17&gt;0,[4]EvaluaciónRiesgoCorrup!$F$11&gt;50,[4]EvaluaciónRiesgoCorrup!$F$11&lt;76,F17=1,H17=5),$H$24,IF(AND(M17&gt;0,[4]EvaluaciónRiesgoCorrup!$F$11&gt;50,[4]EvaluaciónRiesgoCorrup!$F$11&lt;76,F17=1,H17=10),$J$24,IF(AND(M17&gt;0,[4]EvaluaciónRiesgoCorrup!$F$11&gt;50,[4]EvaluaciónRiesgoCorrup!$F$11&lt;76,F17=1,H17=20),$K$24," ")))</f>
        <v xml:space="preserve"> </v>
      </c>
      <c r="AN17" s="125" t="str">
        <f>IF(AND(M17&gt;0,[4]EvaluaciónRiesgoCorrup!$F$11&gt;50,[4]EvaluaciónRiesgoCorrup!$F$11&lt;76,F17=2,H17=5),$H$24,IF(AND(M17&gt;0,[4]EvaluaciónRiesgoCorrup!$F$11&gt;50,[4]EvaluaciónRiesgoCorrup!$F$11&lt;76,F17=2,H17=10),$J$24,IF(AND(M17&gt;0,[4]EvaluaciónRiesgoCorrup!$F$11&gt;50,[4]EvaluaciónRiesgoCorrup!$F$11&lt;76,F17=2,H17=20),$K$24," ")))</f>
        <v xml:space="preserve"> </v>
      </c>
      <c r="AO17" s="125" t="str">
        <f>IF(AND(M17&gt;0,[4]EvaluaciónRiesgoCorrup!$F$11&gt;50,[4]EvaluaciónRiesgoCorrup!$F$11&lt;76,F17=3,H17=5),$H$25,IF(AND(M17&gt;0,[4]EvaluaciónRiesgoCorrup!$F$11&gt;50,[4]EvaluaciónRiesgoCorrup!$F$11&lt;76,F17=3,H17=10),$J$25,IF(AND(M17&gt;0,[4]EvaluaciónRiesgoCorrup!$F$11&gt;50,[4]EvaluaciónRiesgoCorrup!$F$11&lt;76,F17=3,H17=20),$K$25," ")))</f>
        <v xml:space="preserve"> </v>
      </c>
      <c r="AP17" s="125" t="str">
        <f>IF(AND(M17&gt;0,[4]EvaluaciónRiesgoCorrup!$F$11&gt;50,[4]EvaluaciónRiesgoCorrup!$F$11&lt;76,F17=4,H17=5),$H$26,IF(AND(M17&gt;0,[4]EvaluaciónRiesgoCorrup!$F$11&gt;50,[4]EvaluaciónRiesgoCorrup!$F$11&lt;76,F17=4,H17=10),$J$26,IF(AND(M17&gt;0,[4]EvaluaciónRiesgoCorrup!$F$11&gt;50,[4]EvaluaciónRiesgoCorrup!$F$11&lt;76,F17=4,H17=20),$K$26," ")))</f>
        <v xml:space="preserve"> </v>
      </c>
      <c r="AQ17" s="125" t="str">
        <f>IF(AND(M17&gt;0,[4]EvaluaciónRiesgoCorrup!$F$11&gt;50,[4]EvaluaciónRiesgoCorrup!$F$11&lt;76,F17=5,H17=5),$H$27,IF(AND(M17&gt;0,[4]EvaluaciónRiesgoCorrup!$F$11&gt;50,[4]EvaluaciónRiesgoCorrup!$F$11&lt;76,F17=5,H17=10),$J$27,IF(AND(M17&gt;0,[4]EvaluaciónRiesgoCorrup!$F$11&gt;50,[4]EvaluaciónRiesgoCorrup!$F$11&lt;76,F17=5,H17=20),$K$27," ")))</f>
        <v xml:space="preserve"> </v>
      </c>
      <c r="AR17" s="115"/>
      <c r="AS17" s="115"/>
      <c r="AT17" s="125" t="str">
        <f>IF(AND(M17&gt;0,[4]EvaluaciónRiesgoCorrup!$F$11&lt;51,F17=1,H17=5),$H$24,IF(AND(M17&gt;0,[4]EvaluaciónRiesgoCorrup!$F$11&lt;51,F17=1,H17=10),$J$24,IF(AND(M17&gt;0,[4]EvaluaciónRiesgoCorrup!$F$11&lt;51,F17=1,H17=20),K$24," ")))</f>
        <v xml:space="preserve"> </v>
      </c>
      <c r="AU17" s="125" t="str">
        <f>IF(AND(M17&gt;0,[4]EvaluaciónRiesgoCorrup!$F$11&lt;51,F17=2,H17=5),$H$25,IF(AND(M17&gt;0,[4]EvaluaciónRiesgoCorrup!$F$11&lt;51,F17=2,H17=10),$J$25,IF(AND(M17&gt;0,[4]EvaluaciónRiesgoCorrup!$F$11&lt;51,F17=2,H17=20),K$25," ")))</f>
        <v xml:space="preserve"> </v>
      </c>
      <c r="AV17" s="125" t="str">
        <f>IF(AND(M17&gt;0,[4]EvaluaciónRiesgoCorrup!$F$11&lt;51,F17=3,H17=5),$H$26,IF(AND(M17&gt;0,[4]EvaluaciónRiesgoCorrup!$F$11&lt;51,F17=3,H17=10),$J$26,IF(AND(M17&gt;0,[4]EvaluaciónRiesgoCorrup!$F$11&lt;51,F17=3,H17=20),K$26," ")))</f>
        <v xml:space="preserve"> </v>
      </c>
      <c r="AW17" s="125" t="str">
        <f>IF(AND(M17&gt;0,[4]EvaluaciónRiesgoCorrup!$F$11&lt;51,F17=4,H17=5),$H$27,IF(AND(M17&gt;0,[4]EvaluaciónRiesgoCorrup!$F$11&lt;51,F17=4,H17=10),$J$27,IF(AND(M17&gt;0,[4]EvaluaciónRiesgoCorrup!$F$11&lt;51,F17=4,H17=20),K$27," ")))</f>
        <v xml:space="preserve"> </v>
      </c>
      <c r="AX17" s="125" t="str">
        <f>IF(AND(M17&gt;0,[4]EvaluaciónRiesgoCorrup!$F$11&lt;51,F17=5,H17=5),$H$28,IF(AND(M17&gt;0,[4]EvaluaciónRiesgoCorrup!$F$11&lt;51,F17=5,H17=10),$J$28,IF(AND(M17&gt;0,[4]EvaluaciónRiesgoCorrup!$F$11&lt;51,F17=5,H17=20),K$28," ")))</f>
        <v xml:space="preserve"> </v>
      </c>
      <c r="AY17" s="115"/>
      <c r="AZ17" s="115"/>
      <c r="BA17" s="115"/>
      <c r="BB17" s="125" t="str">
        <f>IF(AND(N17&gt;0,[4]EvaluaciónRiesgoCorrup!$F$11&gt;75,F17=1,H17=5),$H$24,IF(AND(N17&gt;0,[4]EvaluaciónRiesgoCorrup!$F$11&gt;75,F17=1,H17=10),$H$24,IF(AND(N17&gt;0,[4]EvaluaciónRiesgoCorrup!$F$11&gt;75,F17=1,H17=20),$H$24," ")))</f>
        <v xml:space="preserve"> </v>
      </c>
      <c r="BC17" s="125" t="str">
        <f>IF(AND(N17&gt;0,[4]EvaluaciónRiesgoCorrup!$F$11&gt;75,F17=2,H17=5),$H$25,IF(AND(N17&gt;0,[4]EvaluaciónRiesgoCorrup!$F$11&gt;75,F17=2,H17=10),$H$25,IF(AND(N17&gt;0,[4]EvaluaciónRiesgoCorrup!$F$11&gt;75,F17=2,H17=20),$H$25," ")))</f>
        <v>B</v>
      </c>
      <c r="BD17" s="125" t="str">
        <f>IF(AND(N17&gt;0,[4]EvaluaciónRiesgoCorrup!$F$11&gt;75,F17=3,H17=5),$H$26,IF(AND(N17&gt;0,[4]EvaluaciónRiesgoCorrup!$F$11&gt;75,F17=3,H17=10),$H$26,IF(AND(N17&gt;0,[4]EvaluaciónRiesgoCorrup!$F$11&gt;75,F17=3,H17=20),$H$26," ")))</f>
        <v xml:space="preserve"> </v>
      </c>
      <c r="BE17" s="125" t="str">
        <f>IF(AND(N17&gt;0,[4]EvaluaciónRiesgoCorrup!$F$11&gt;75,F17=4,H17=5),$H$27,IF(AND(N17&gt;0,[4]EvaluaciónRiesgoCorrup!$F$11&gt;75,F17=4,H17=10),$H$27,IF(AND(N17&gt;0,[4]EvaluaciónRiesgoCorrup!$F$11&gt;75,F17=4,H17=20),$H$27," ")))</f>
        <v xml:space="preserve"> </v>
      </c>
      <c r="BF17" s="125" t="str">
        <f>IF(AND(N17&gt;0,[4]EvaluaciónRiesgoCorrup!$F$11&gt;75,F17=5,H17=5),$H$28,IF(AND(N17&gt;0,[4]EvaluaciónRiesgoCorrup!$F$11&gt;75,F17=5,H17=10),$H$28,IF(AND(N17&gt;0,[4]EvaluaciónRiesgoCorrup!$F$11&gt;75,F17=5,H17=20),$H$28," ")))</f>
        <v xml:space="preserve"> </v>
      </c>
      <c r="BG17" s="115"/>
      <c r="BH17" s="115"/>
      <c r="BI17" s="125" t="str">
        <f>IF(AND(N17&gt;0,[4]EvaluaciónRiesgoCorrup!$F$11&gt;50,[4]EvaluaciónRiesgoCorrup!$F$11&lt;76,F17=1,H17=5),$H$24,IF(AND(N17&gt;0,[4]EvaluaciónRiesgoCorrup!$F$11&gt;50,[4]EvaluaciónRiesgoCorrup!$F$11&lt;76,F17=1,H17=10),$H$24,IF(AND(N17&gt;0,[4]EvaluaciónRiesgoCorrup!$F$11&gt;50,[4]EvaluaciónRiesgoCorrup!$F$11&lt;76,F17=1,H17=20),$J$24," ")))</f>
        <v xml:space="preserve"> </v>
      </c>
      <c r="BJ17" s="125" t="str">
        <f>IF(AND(N17&gt;0,[4]EvaluaciónRiesgoCorrup!$F$11&gt;50,[4]EvaluaciónRiesgoCorrup!$F$11&lt;76,F17=2,H17=5),$H$25,IF(AND(N17&gt;0,[4]EvaluaciónRiesgoCorrup!$F$11&gt;50,[4]EvaluaciónRiesgoCorrup!$F$11&lt;76,F17=2,H17=10),$H$25,IF(AND(N17&gt;0,[4]EvaluaciónRiesgoCorrup!$F$11&gt;50,[4]EvaluaciónRiesgoCorrup!$F$11&lt;76,F17=2,H17=20),$J$25," ")))</f>
        <v xml:space="preserve"> </v>
      </c>
      <c r="BK17" s="125" t="str">
        <f>IF(AND(N17&gt;0,[4]EvaluaciónRiesgoCorrup!$F$11&gt;50,[4]EvaluaciónRiesgoCorrup!$F$11&lt;76,F17=3,H17=5),$H$26,IF(AND(N17&gt;0,[4]EvaluaciónRiesgoCorrup!$F$11&gt;50,[4]EvaluaciónRiesgoCorrup!$F$11&lt;76,F17=3,H17=10),$H$26,IF(AND(N17&gt;0,[4]EvaluaciónRiesgoCorrup!$F$11&gt;50,[4]EvaluaciónRiesgoCorrup!$F$11&lt;76,F17=3,H17=20),$J$26," ")))</f>
        <v xml:space="preserve"> </v>
      </c>
      <c r="BL17" s="125" t="str">
        <f>IF(AND(N17&gt;0,[4]EvaluaciónRiesgoCorrup!$F$11&gt;50,[4]EvaluaciónRiesgoCorrup!$F$11&lt;76,F17=4,H17=5),$H$27,IF(AND(N17&gt;0,[4]EvaluaciónRiesgoCorrup!$F$11&gt;50,[4]EvaluaciónRiesgoCorrup!$F$11&lt;76,F17=4,H17=10),$H$27,IF(AND(N17&gt;0,[4]EvaluaciónRiesgoCorrup!$F$11&gt;50,[4]EvaluaciónRiesgoCorrup!$F$11&lt;76,F17=4,H17=20),$J$27," ")))</f>
        <v xml:space="preserve"> </v>
      </c>
      <c r="BM17" s="125" t="str">
        <f>IF(AND(N17&gt;0,[4]EvaluaciónRiesgoCorrup!$F$11&gt;50,[4]EvaluaciónRiesgoCorrup!$F$11&lt;76,F17=5,H17=5),$H$28,IF(AND(N17&gt;0,[4]EvaluaciónRiesgoCorrup!$F$11&gt;50,[4]EvaluaciónRiesgoCorrup!$F$11&lt;76,F17=5,H17=10),$H$28,IF(AND(N17&gt;0,[4]EvaluaciónRiesgoCorrup!$F$11&gt;50,[4]EvaluaciónRiesgoCorrup!$F$11&lt;76,F17=5,H17=20),$J$28," ")))</f>
        <v xml:space="preserve"> </v>
      </c>
      <c r="BN17" s="115"/>
      <c r="BO17" s="115"/>
      <c r="BP17" s="125" t="str">
        <f>IF(AND(N17&gt;0,[4]EvaluaciónRiesgoCorrup!$F$11&lt;51,F17=1,H17=5),$H$24,IF(AND(N17&gt;0,[4]EvaluaciónRiesgoCorrup!$F$11&lt;51,F17=1,H17=10),$J$24,IF(AND(N17&gt;0,[4]EvaluaciónRiesgoCorrup!$F$11&lt;51,F17=1,H17=20),$K$24," ")))</f>
        <v xml:space="preserve"> </v>
      </c>
      <c r="BQ17" s="125" t="str">
        <f>IF(AND(N17&gt;0,[4]EvaluaciónRiesgoCorrup!$F$11&lt;51,F17=2,H17=5),$H$25,IF(AND(N17&gt;0,[4]EvaluaciónRiesgoCorrup!$F$11&lt;51,F17=2,H17=10),$J$25,IF(AND(N17&gt;0,[4]EvaluaciónRiesgoCorrup!$F$11&lt;51,F17=2,H17=20),$K$25," ")))</f>
        <v xml:space="preserve"> </v>
      </c>
      <c r="BR17" s="26" t="str">
        <f>IF(AND(N17&gt;0,[4]EvaluaciónRiesgoCorrup!$F$11&lt;51,F17=3,H17=5),$H$26,IF(AND(N17&gt;0,[4]EvaluaciónRiesgoCorrup!$F$11&lt;51,F17=3,H17=10),$J$26,IF(AND(N17&gt;0,[4]EvaluaciónRiesgoCorrup!$F$11&lt;51,F17=3,H17=20),$K$26," ")))</f>
        <v xml:space="preserve"> </v>
      </c>
      <c r="BS17" s="26" t="str">
        <f>IF(AND(N17&gt;0,[4]EvaluaciónRiesgoCorrup!$F$11&lt;51,F17=4,H17=5),$H$27,IF(AND(N17&gt;0,[4]EvaluaciónRiesgoCorrup!$F$11&lt;51,F17=4,H17=10),$J$27,IF(AND(N17&gt;0,[4]EvaluaciónRiesgoCorrup!$F$11&lt;51,F17=4,H17=20),$K$27," ")))</f>
        <v xml:space="preserve"> </v>
      </c>
      <c r="BT17" s="26" t="str">
        <f>IF(AND(N17&gt;0,[4]EvaluaciónRiesgoCorrup!$F$11&lt;51,F17=5,H17=5),$H$28,IF(AND(N17&gt;0,[4]EvaluaciónRiesgoCorrup!$F$11&lt;51,F17=5,H17=10),$J$28,IF(AND(N17&gt;0,[4]EvaluaciónRiesgoCorrup!$F$11&lt;51,F17=5,H17=20),$K$28," ")))</f>
        <v xml:space="preserve"> </v>
      </c>
      <c r="BW17" s="2" t="s">
        <v>69</v>
      </c>
    </row>
    <row r="18" spans="1:75" ht="409.5" customHeight="1" x14ac:dyDescent="0.25">
      <c r="A18" s="345"/>
      <c r="B18" s="166"/>
      <c r="C18" s="345"/>
      <c r="D18" s="345"/>
      <c r="E18" s="340"/>
      <c r="F18" s="341"/>
      <c r="G18" s="341"/>
      <c r="H18" s="342"/>
      <c r="I18" s="342"/>
      <c r="J18" s="157"/>
      <c r="K18" s="165"/>
      <c r="L18" s="588"/>
      <c r="M18" s="589"/>
      <c r="N18" s="25"/>
      <c r="O18" s="343"/>
      <c r="P18" s="337"/>
      <c r="Q18" s="344"/>
      <c r="R18" s="164"/>
      <c r="S18" s="153"/>
      <c r="T18" s="346"/>
      <c r="U18" s="348"/>
      <c r="V18" s="347"/>
      <c r="W18" s="448"/>
      <c r="X18" s="448"/>
      <c r="Z18" s="26" t="str">
        <f>IF(AND(F18=1,H18=5),$H$24,IF(AND(F18=1,H18=10),$J$24,IF(AND(F18=1,H18=20),$K$24," ")))</f>
        <v xml:space="preserve"> </v>
      </c>
      <c r="AA18" s="26" t="str">
        <f>IF(AND(F18=2,H18=5),$H$25,IF(AND(F18=2,H18=10),$J$25,IF(AND(F18=2,H18=20),$K$25," ")))</f>
        <v xml:space="preserve"> </v>
      </c>
      <c r="AB18" s="26" t="str">
        <f>IF(AND(F18=3,H18=5),$H$26,IF(AND(F18=3,H18=10),$J$26,IF(AND(F18=3,H18=20),$K$26," ")))</f>
        <v xml:space="preserve"> </v>
      </c>
      <c r="AC18" s="26" t="str">
        <f>IF(AND(F18=4,H18=5),$H$27,IF(AND(F18=4,H18=10),$J$27,IF(AND(F18=4,H18=20),$K$27," ")))</f>
        <v xml:space="preserve"> </v>
      </c>
      <c r="AD18" s="26" t="str">
        <f>IF(AND(F18=5,H18=5),$H$28,IF(AND(F18=5,H18=10),$J$28,IF(AND(F18=5,H18=20),$K$28," ")))</f>
        <v xml:space="preserve"> </v>
      </c>
      <c r="AG18" s="26" t="str">
        <f>IF(AND(M18&gt;0,[4]EvaluaciónRiesgoCorrup!$F$11&gt;75,F18=1,H18=5),$H$24,IF(AND(M18&gt;0,[4]EvaluaciónRiesgoCorrup!$F$11&gt;75,F18=1,H18=10),$J$24,IF(AND(M18&gt;0,[4]EvaluaciónRiesgoCorrup!$F$11&gt;75,F18=1,H18=20),$K$24," ")))</f>
        <v xml:space="preserve"> </v>
      </c>
      <c r="AH18" s="26" t="str">
        <f>IF(AND(M18&gt;0,[4]EvaluaciónRiesgoCorrup!$F$11&gt;75,F18=2,H18=5),$H$24,IF(AND(M18&gt;0,[4]EvaluaciónRiesgoCorrup!$F$11&gt;75,F18=2,H18=10),$J$24,IF(AND(M18&gt;0,[4]EvaluaciónRiesgoCorrup!$F$11&gt;75,F18=2,H18=20),$K$24," ")))</f>
        <v xml:space="preserve"> </v>
      </c>
      <c r="AI18" s="26" t="str">
        <f>IF(AND(M18&gt;0,[4]EvaluaciónRiesgoCorrup!$F$11&gt;75,F18=3,H18=5),$H$24,IF(AND(M18&gt;0,[4]EvaluaciónRiesgoCorrup!$F$11&gt;75,F18=3,H18=10),$J$24,IF(AND(M18&gt;0,[4]EvaluaciónRiesgoCorrup!$F$11&gt;75,F18=3,H18=20),$K$24," ")))</f>
        <v xml:space="preserve"> </v>
      </c>
      <c r="AJ18" s="26" t="str">
        <f>IF(AND(M18&gt;0,[4]EvaluaciónRiesgoCorrup!$F$11&gt;75,F18=4,H18=5),$H$25,IF(AND(M18&gt;0,[4]EvaluaciónRiesgoCorrup!$F$11&gt;75,F18=4,H18=10),$J$25,IF(AND(M18&gt;0,[4]EvaluaciónRiesgoCorrup!$F$11&gt;75,F18=4,H18=20),$K$25," ")))</f>
        <v xml:space="preserve"> </v>
      </c>
      <c r="AK18" s="26" t="str">
        <f>IF(AND(M18&gt;0,[4]EvaluaciónRiesgoCorrup!$F$11&gt;75,F18=5,H18=5),$H$26,IF(AND(M18&gt;0,[4]EvaluaciónRiesgoCorrup!$F$11&gt;75,F18=5,H18=10),$J$26,IF(AND(M18&gt;0,[4]EvaluaciónRiesgoCorrup!$F$11&gt;75,F18=5,H18=20),$K$26," ")))</f>
        <v xml:space="preserve"> </v>
      </c>
      <c r="AM18" s="26" t="str">
        <f>IF(AND(M18&gt;0,[4]EvaluaciónRiesgoCorrup!$F$11&gt;50,[4]EvaluaciónRiesgoCorrup!$F$11&lt;76,F18=1,H18=5),$H$24,IF(AND(M18&gt;0,[4]EvaluaciónRiesgoCorrup!$F$11&gt;50,[4]EvaluaciónRiesgoCorrup!$F$11&lt;76,F18=1,H18=10),$J$24,IF(AND(M18&gt;0,[4]EvaluaciónRiesgoCorrup!$F$11&gt;50,[4]EvaluaciónRiesgoCorrup!$F$11&lt;76,F18=1,H18=20),$K$24," ")))</f>
        <v xml:space="preserve"> </v>
      </c>
      <c r="AN18" s="26" t="str">
        <f>IF(AND(M18&gt;0,[4]EvaluaciónRiesgoCorrup!$F$11&gt;50,[4]EvaluaciónRiesgoCorrup!$F$11&lt;76,F18=2,H18=5),$H$24,IF(AND(M18&gt;0,[4]EvaluaciónRiesgoCorrup!$F$11&gt;50,[4]EvaluaciónRiesgoCorrup!$F$11&lt;76,F18=2,H18=10),$J$24,IF(AND(M18&gt;0,[4]EvaluaciónRiesgoCorrup!$F$11&gt;50,[4]EvaluaciónRiesgoCorrup!$F$11&lt;76,F18=2,H18=20),$K$24," ")))</f>
        <v xml:space="preserve"> </v>
      </c>
      <c r="AO18" s="26" t="str">
        <f>IF(AND(M18&gt;0,[4]EvaluaciónRiesgoCorrup!$F$11&gt;50,[4]EvaluaciónRiesgoCorrup!$F$11&lt;76,F18=3,H18=5),$H$25,IF(AND(M18&gt;0,[4]EvaluaciónRiesgoCorrup!$F$11&gt;50,[4]EvaluaciónRiesgoCorrup!$F$11&lt;76,F18=3,H18=10),$J$25,IF(AND(M18&gt;0,[4]EvaluaciónRiesgoCorrup!$F$11&gt;50,[4]EvaluaciónRiesgoCorrup!$F$11&lt;76,F18=3,H18=20),$K$25," ")))</f>
        <v xml:space="preserve"> </v>
      </c>
      <c r="AP18" s="26" t="str">
        <f>IF(AND(M18&gt;0,[4]EvaluaciónRiesgoCorrup!$F$11&gt;50,[4]EvaluaciónRiesgoCorrup!$F$11&lt;76,F18=4,H18=5),$H$26,IF(AND(M18&gt;0,[4]EvaluaciónRiesgoCorrup!$F$11&gt;50,[4]EvaluaciónRiesgoCorrup!$F$11&lt;76,F18=4,H18=10),$J$26,IF(AND(M18&gt;0,[4]EvaluaciónRiesgoCorrup!$F$11&gt;50,[4]EvaluaciónRiesgoCorrup!$F$11&lt;76,F18=4,H18=20),$K$26," ")))</f>
        <v xml:space="preserve"> </v>
      </c>
      <c r="AQ18" s="26" t="str">
        <f>IF(AND(M18&gt;0,[4]EvaluaciónRiesgoCorrup!$F$11&gt;50,[4]EvaluaciónRiesgoCorrup!$F$11&lt;76,F18=5,H18=5),$H$27,IF(AND(M18&gt;0,[4]EvaluaciónRiesgoCorrup!$F$11&gt;50,[4]EvaluaciónRiesgoCorrup!$F$11&lt;76,F18=5,H18=10),$J$27,IF(AND(M18&gt;0,[4]EvaluaciónRiesgoCorrup!$F$11&gt;50,[4]EvaluaciónRiesgoCorrup!$F$11&lt;76,F18=5,H18=20),$K$27," ")))</f>
        <v xml:space="preserve"> </v>
      </c>
      <c r="AT18" s="26" t="str">
        <f>IF(AND(M18&gt;0,[4]EvaluaciónRiesgoCorrup!$F$11&lt;51,F18=1,H18=5),$H$24,IF(AND(M18&gt;0,[4]EvaluaciónRiesgoCorrup!$F$11&lt;51,F18=1,H18=10),$J$24,IF(AND(M18&gt;0,[4]EvaluaciónRiesgoCorrup!$F$11&lt;51,F18=1,H18=20),K$24," ")))</f>
        <v xml:space="preserve"> </v>
      </c>
      <c r="AU18" s="26" t="str">
        <f>IF(AND(M18&gt;0,[4]EvaluaciónRiesgoCorrup!$F$11&lt;51,F18=2,H18=5),$H$25,IF(AND(M18&gt;0,[4]EvaluaciónRiesgoCorrup!$F$11&lt;51,F18=2,H18=10),$J$25,IF(AND(M18&gt;0,[4]EvaluaciónRiesgoCorrup!$F$11&lt;51,F18=2,H18=20),K$25," ")))</f>
        <v xml:space="preserve"> </v>
      </c>
      <c r="AV18" s="26" t="str">
        <f>IF(AND(M18&gt;0,[4]EvaluaciónRiesgoCorrup!$F$11&lt;51,F18=3,H18=5),$H$26,IF(AND(M18&gt;0,[4]EvaluaciónRiesgoCorrup!$F$11&lt;51,F18=3,H18=10),$J$26,IF(AND(M18&gt;0,[4]EvaluaciónRiesgoCorrup!$F$11&lt;51,F18=3,H18=20),K$26," ")))</f>
        <v xml:space="preserve"> </v>
      </c>
      <c r="AW18" s="26" t="str">
        <f>IF(AND(M18&gt;0,[4]EvaluaciónRiesgoCorrup!$F$11&lt;51,F18=4,H18=5),$H$27,IF(AND(M18&gt;0,[4]EvaluaciónRiesgoCorrup!$F$11&lt;51,F18=4,H18=10),$J$27,IF(AND(M18&gt;0,[4]EvaluaciónRiesgoCorrup!$F$11&lt;51,F18=4,H18=20),K$27," ")))</f>
        <v xml:space="preserve"> </v>
      </c>
      <c r="AX18" s="26" t="str">
        <f>IF(AND(M18&gt;0,[4]EvaluaciónRiesgoCorrup!$F$11&lt;51,F18=5,H18=5),$H$28,IF(AND(M18&gt;0,[4]EvaluaciónRiesgoCorrup!$F$11&lt;51,F18=5,H18=10),$J$28,IF(AND(M18&gt;0,[4]EvaluaciónRiesgoCorrup!$F$11&lt;51,F18=5,H18=20),K$28," ")))</f>
        <v xml:space="preserve"> </v>
      </c>
      <c r="BB18" s="26" t="str">
        <f>IF(AND(N18&gt;0,[4]EvaluaciónRiesgoCorrup!$F$11&gt;75,F18=1,H18=5),$H$24,IF(AND(N18&gt;0,[4]EvaluaciónRiesgoCorrup!$F$11&gt;75,F18=1,H18=10),$H$24,IF(AND(N18&gt;0,[4]EvaluaciónRiesgoCorrup!$F$11&gt;75,F18=1,H18=20),$H$24," ")))</f>
        <v xml:space="preserve"> </v>
      </c>
      <c r="BC18" s="26" t="str">
        <f>IF(AND(N18&gt;0,[4]EvaluaciónRiesgoCorrup!$F$11&gt;75,F18=2,H18=5),$H$25,IF(AND(N18&gt;0,[4]EvaluaciónRiesgoCorrup!$F$11&gt;75,F18=2,H18=10),$H$25,IF(AND(N18&gt;0,[4]EvaluaciónRiesgoCorrup!$F$11&gt;75,F18=2,H18=20),$H$25," ")))</f>
        <v xml:space="preserve"> </v>
      </c>
      <c r="BD18" s="26" t="str">
        <f>IF(AND(N18&gt;0,[4]EvaluaciónRiesgoCorrup!$F$11&gt;75,F18=3,H18=5),$H$26,IF(AND(N18&gt;0,[4]EvaluaciónRiesgoCorrup!$F$11&gt;75,F18=3,H18=10),$H$26,IF(AND(N18&gt;0,[4]EvaluaciónRiesgoCorrup!$F$11&gt;75,F18=3,H18=20),$H$26," ")))</f>
        <v xml:space="preserve"> </v>
      </c>
      <c r="BE18" s="26" t="str">
        <f>IF(AND(N18&gt;0,[4]EvaluaciónRiesgoCorrup!$F$11&gt;75,F18=4,H18=5),$H$27,IF(AND(N18&gt;0,[4]EvaluaciónRiesgoCorrup!$F$11&gt;75,F18=4,H18=10),$H$27,IF(AND(N18&gt;0,[4]EvaluaciónRiesgoCorrup!$F$11&gt;75,F18=4,H18=20),$H$27," ")))</f>
        <v xml:space="preserve"> </v>
      </c>
      <c r="BF18" s="26" t="str">
        <f>IF(AND(N18&gt;0,[4]EvaluaciónRiesgoCorrup!$F$11&gt;75,F18=5,H18=5),$H$28,IF(AND(N18&gt;0,[4]EvaluaciónRiesgoCorrup!$F$11&gt;75,F18=5,H18=10),$H$28,IF(AND(N18&gt;0,[4]EvaluaciónRiesgoCorrup!$F$11&gt;75,F18=5,H18=20),$H$28," ")))</f>
        <v xml:space="preserve"> </v>
      </c>
      <c r="BI18" s="26" t="str">
        <f>IF(AND(N18&gt;0,[4]EvaluaciónRiesgoCorrup!$F$11&gt;50,[4]EvaluaciónRiesgoCorrup!$F$11&lt;76,F18=1,H18=5),$H$24,IF(AND(N18&gt;0,[4]EvaluaciónRiesgoCorrup!$F$11&gt;50,[4]EvaluaciónRiesgoCorrup!$F$11&lt;76,F18=1,H18=10),$H$24,IF(AND(N18&gt;0,[4]EvaluaciónRiesgoCorrup!$F$11&gt;50,[4]EvaluaciónRiesgoCorrup!$F$11&lt;76,F18=1,H18=20),$J$24," ")))</f>
        <v xml:space="preserve"> </v>
      </c>
      <c r="BJ18" s="26" t="str">
        <f>IF(AND(N18&gt;0,[4]EvaluaciónRiesgoCorrup!$F$11&gt;50,[4]EvaluaciónRiesgoCorrup!$F$11&lt;76,F18=2,H18=5),$H$25,IF(AND(N18&gt;0,[4]EvaluaciónRiesgoCorrup!$F$11&gt;50,[4]EvaluaciónRiesgoCorrup!$F$11&lt;76,F18=2,H18=10),$H$25,IF(AND(N18&gt;0,[4]EvaluaciónRiesgoCorrup!$F$11&gt;50,[4]EvaluaciónRiesgoCorrup!$F$11&lt;76,F18=2,H18=20),$J$25," ")))</f>
        <v xml:space="preserve"> </v>
      </c>
      <c r="BK18" s="26" t="str">
        <f>IF(AND(N18&gt;0,[4]EvaluaciónRiesgoCorrup!$F$11&gt;50,[4]EvaluaciónRiesgoCorrup!$F$11&lt;76,F18=3,H18=5),$H$26,IF(AND(N18&gt;0,[4]EvaluaciónRiesgoCorrup!$F$11&gt;50,[4]EvaluaciónRiesgoCorrup!$F$11&lt;76,F18=3,H18=10),$H$26,IF(AND(N18&gt;0,[4]EvaluaciónRiesgoCorrup!$F$11&gt;50,[4]EvaluaciónRiesgoCorrup!$F$11&lt;76,F18=3,H18=20),$J$26," ")))</f>
        <v xml:space="preserve"> </v>
      </c>
      <c r="BL18" s="26" t="str">
        <f>IF(AND(N18&gt;0,[4]EvaluaciónRiesgoCorrup!$F$11&gt;50,[4]EvaluaciónRiesgoCorrup!$F$11&lt;76,F18=4,H18=5),$H$27,IF(AND(N18&gt;0,[4]EvaluaciónRiesgoCorrup!$F$11&gt;50,[4]EvaluaciónRiesgoCorrup!$F$11&lt;76,F18=4,H18=10),$H$27,IF(AND(N18&gt;0,[4]EvaluaciónRiesgoCorrup!$F$11&gt;50,[4]EvaluaciónRiesgoCorrup!$F$11&lt;76,F18=4,H18=20),$J$27," ")))</f>
        <v xml:space="preserve"> </v>
      </c>
      <c r="BM18" s="26" t="str">
        <f>IF(AND(N18&gt;0,[4]EvaluaciónRiesgoCorrup!$F$11&gt;50,[4]EvaluaciónRiesgoCorrup!$F$11&lt;76,F18=5,H18=5),$H$28,IF(AND(N18&gt;0,[4]EvaluaciónRiesgoCorrup!$F$11&gt;50,[4]EvaluaciónRiesgoCorrup!$F$11&lt;76,F18=5,H18=10),$H$28,IF(AND(N18&gt;0,[4]EvaluaciónRiesgoCorrup!$F$11&gt;50,[4]EvaluaciónRiesgoCorrup!$F$11&lt;76,F18=5,H18=20),$J$28," ")))</f>
        <v xml:space="preserve"> </v>
      </c>
      <c r="BP18" s="26" t="str">
        <f>IF(AND(N18&gt;0,[4]EvaluaciónRiesgoCorrup!$F$11&lt;51,F18=1,H18=5),$H$24,IF(AND(N18&gt;0,[4]EvaluaciónRiesgoCorrup!$F$11&lt;51,F18=1,H18=10),$J$24,IF(AND(N18&gt;0,[4]EvaluaciónRiesgoCorrup!$F$11&lt;51,F18=1,H18=20),$K$24," ")))</f>
        <v xml:space="preserve"> </v>
      </c>
      <c r="BQ18" s="26" t="str">
        <f>IF(AND(N18&gt;0,[4]EvaluaciónRiesgoCorrup!$F$11&lt;51,F18=2,H18=5),$H$25,IF(AND(N18&gt;0,[4]EvaluaciónRiesgoCorrup!$F$11&lt;51,F18=2,H18=10),$J$25,IF(AND(N18&gt;0,[4]EvaluaciónRiesgoCorrup!$F$11&lt;51,F18=2,H18=20),$K$25," ")))</f>
        <v xml:space="preserve"> </v>
      </c>
      <c r="BR18" s="26" t="str">
        <f>IF(AND(N18&gt;0,[4]EvaluaciónRiesgoCorrup!$F$11&lt;51,F18=3,H18=5),$H$26,IF(AND(N18&gt;0,[4]EvaluaciónRiesgoCorrup!$F$11&lt;51,F18=3,H18=10),$J$26,IF(AND(N18&gt;0,[4]EvaluaciónRiesgoCorrup!$F$11&lt;51,F18=3,H18=20),$K$26," ")))</f>
        <v xml:space="preserve"> </v>
      </c>
      <c r="BS18" s="26" t="str">
        <f>IF(AND(N18&gt;0,[4]EvaluaciónRiesgoCorrup!$F$11&lt;51,F18=4,H18=5),$H$27,IF(AND(N18&gt;0,[4]EvaluaciónRiesgoCorrup!$F$11&lt;51,F18=4,H18=10),$J$27,IF(AND(N18&gt;0,[4]EvaluaciónRiesgoCorrup!$F$11&lt;51,F18=4,H18=20),$K$27," ")))</f>
        <v xml:space="preserve"> </v>
      </c>
      <c r="BT18" s="26" t="str">
        <f>IF(AND(N18&gt;0,[4]EvaluaciónRiesgoCorrup!$F$11&lt;51,F18=5,H18=5),$H$28,IF(AND(N18&gt;0,[4]EvaluaciónRiesgoCorrup!$F$11&lt;51,F18=5,H18=10),$J$28,IF(AND(N18&gt;0,[4]EvaluaciónRiesgoCorrup!$F$11&lt;51,F18=5,H18=20),$K$28," ")))</f>
        <v xml:space="preserve"> </v>
      </c>
    </row>
    <row r="19" spans="1:75" ht="110.25" customHeight="1" x14ac:dyDescent="0.25">
      <c r="A19" s="46"/>
      <c r="B19" s="22"/>
      <c r="C19" s="124"/>
      <c r="D19" s="22"/>
      <c r="E19" s="78"/>
    </row>
    <row r="20" spans="1:75" x14ac:dyDescent="0.25">
      <c r="A20" s="26"/>
      <c r="B20" s="28"/>
      <c r="C20" s="126"/>
      <c r="D20" s="28"/>
      <c r="E20" s="139"/>
    </row>
    <row r="21" spans="1:75" ht="15" thickBot="1" x14ac:dyDescent="0.3">
      <c r="A21" s="26"/>
      <c r="B21" s="28"/>
      <c r="C21" s="126"/>
      <c r="D21" s="28"/>
      <c r="E21" s="139"/>
      <c r="H21" s="30"/>
      <c r="I21" s="140"/>
      <c r="J21" s="30"/>
    </row>
    <row r="22" spans="1:75" ht="15.75" thickBot="1" x14ac:dyDescent="0.3">
      <c r="A22" s="6"/>
      <c r="B22" s="31"/>
      <c r="C22" s="139"/>
      <c r="D22" s="31"/>
      <c r="E22" s="139"/>
      <c r="F22" s="544" t="s">
        <v>25</v>
      </c>
      <c r="G22" s="77"/>
      <c r="H22" s="546" t="s">
        <v>9</v>
      </c>
      <c r="I22" s="546"/>
      <c r="J22" s="546"/>
      <c r="K22" s="547"/>
      <c r="L22" s="82"/>
      <c r="M22" s="2"/>
      <c r="R22" s="5"/>
      <c r="T22" s="2"/>
    </row>
    <row r="23" spans="1:75" ht="32.25" customHeight="1" thickBot="1" x14ac:dyDescent="0.3">
      <c r="A23" s="5"/>
      <c r="B23" s="32" t="s">
        <v>33</v>
      </c>
      <c r="C23" s="127"/>
      <c r="D23" s="32"/>
      <c r="E23" s="127"/>
      <c r="F23" s="545"/>
      <c r="G23" s="268"/>
      <c r="H23" s="33" t="s">
        <v>34</v>
      </c>
      <c r="I23" s="128"/>
      <c r="J23" s="34" t="s">
        <v>35</v>
      </c>
      <c r="K23" s="33" t="s">
        <v>36</v>
      </c>
      <c r="L23" s="83"/>
      <c r="M23" s="2"/>
      <c r="R23" s="5"/>
      <c r="T23" s="2"/>
    </row>
    <row r="24" spans="1:75" ht="15.75" thickBot="1" x14ac:dyDescent="0.3">
      <c r="B24" s="5" t="s">
        <v>37</v>
      </c>
      <c r="C24" s="118"/>
      <c r="F24" s="35" t="s">
        <v>38</v>
      </c>
      <c r="G24" s="129"/>
      <c r="H24" s="36" t="s">
        <v>39</v>
      </c>
      <c r="I24" s="130"/>
      <c r="J24" s="36" t="s">
        <v>39</v>
      </c>
      <c r="K24" s="37" t="s">
        <v>40</v>
      </c>
      <c r="L24" s="84"/>
      <c r="M24" s="2"/>
      <c r="R24" s="5"/>
      <c r="T24" s="2"/>
    </row>
    <row r="25" spans="1:75" ht="15.75" thickBot="1" x14ac:dyDescent="0.3">
      <c r="F25" s="35" t="s">
        <v>41</v>
      </c>
      <c r="G25" s="129"/>
      <c r="H25" s="36" t="s">
        <v>39</v>
      </c>
      <c r="I25" s="130"/>
      <c r="J25" s="37" t="s">
        <v>40</v>
      </c>
      <c r="K25" s="38" t="s">
        <v>42</v>
      </c>
      <c r="L25" s="85"/>
      <c r="M25" s="2"/>
      <c r="R25" s="5"/>
      <c r="T25" s="2"/>
    </row>
    <row r="26" spans="1:75" ht="15.75" thickBot="1" x14ac:dyDescent="0.3">
      <c r="F26" s="35" t="s">
        <v>43</v>
      </c>
      <c r="G26" s="129"/>
      <c r="H26" s="37" t="s">
        <v>40</v>
      </c>
      <c r="I26" s="131"/>
      <c r="J26" s="38" t="s">
        <v>42</v>
      </c>
      <c r="K26" s="39" t="s">
        <v>44</v>
      </c>
      <c r="L26" s="86"/>
      <c r="M26" s="2"/>
      <c r="R26" s="5"/>
      <c r="T26" s="2"/>
    </row>
    <row r="27" spans="1:75" ht="15.75" thickBot="1" x14ac:dyDescent="0.3">
      <c r="F27" s="35" t="s">
        <v>45</v>
      </c>
      <c r="G27" s="129"/>
      <c r="H27" s="37" t="s">
        <v>40</v>
      </c>
      <c r="I27" s="131"/>
      <c r="J27" s="38" t="s">
        <v>42</v>
      </c>
      <c r="K27" s="39" t="s">
        <v>44</v>
      </c>
      <c r="L27" s="86"/>
      <c r="M27" s="2"/>
      <c r="R27" s="5"/>
      <c r="T27" s="2"/>
    </row>
    <row r="28" spans="1:75" ht="15.75" thickBot="1" x14ac:dyDescent="0.3">
      <c r="F28" s="35" t="s">
        <v>46</v>
      </c>
      <c r="G28" s="129"/>
      <c r="H28" s="37" t="s">
        <v>40</v>
      </c>
      <c r="I28" s="131"/>
      <c r="J28" s="38" t="s">
        <v>42</v>
      </c>
      <c r="K28" s="39" t="s">
        <v>44</v>
      </c>
      <c r="L28" s="86"/>
      <c r="M28" s="2"/>
      <c r="R28" s="5"/>
      <c r="T28" s="2"/>
    </row>
    <row r="29" spans="1:75" x14ac:dyDescent="0.25">
      <c r="F29" s="2"/>
      <c r="G29" s="115"/>
      <c r="H29" s="2"/>
      <c r="I29" s="115"/>
      <c r="J29" s="2"/>
      <c r="K29" s="5"/>
      <c r="L29" s="118"/>
      <c r="N29" s="5"/>
    </row>
    <row r="30" spans="1:75" ht="15" x14ac:dyDescent="0.25">
      <c r="F30" s="40" t="s">
        <v>47</v>
      </c>
      <c r="G30" s="132"/>
      <c r="H30" s="2"/>
      <c r="I30" s="115"/>
      <c r="J30" s="2"/>
      <c r="K30" s="5"/>
      <c r="L30" s="118"/>
      <c r="N30" s="5"/>
      <c r="O30" s="5"/>
      <c r="P30" s="118"/>
      <c r="Q30" s="5"/>
    </row>
    <row r="31" spans="1:75" ht="15" x14ac:dyDescent="0.25">
      <c r="F31" s="41" t="s">
        <v>48</v>
      </c>
      <c r="G31" s="133"/>
      <c r="H31" s="2"/>
      <c r="I31" s="115"/>
      <c r="J31" s="2"/>
      <c r="K31" s="5"/>
      <c r="L31" s="118"/>
      <c r="N31" s="5"/>
      <c r="O31" s="5"/>
      <c r="P31" s="118"/>
      <c r="Q31" s="5"/>
    </row>
    <row r="32" spans="1:75" ht="15" x14ac:dyDescent="0.25">
      <c r="F32" s="42" t="s">
        <v>49</v>
      </c>
      <c r="G32" s="134"/>
      <c r="H32" s="2"/>
      <c r="I32" s="115"/>
      <c r="J32" s="2"/>
      <c r="K32" s="5"/>
      <c r="L32" s="118"/>
      <c r="N32" s="5"/>
      <c r="O32" s="5"/>
      <c r="P32" s="118"/>
      <c r="Q32" s="5"/>
    </row>
    <row r="33" spans="6:17" ht="15" x14ac:dyDescent="0.25">
      <c r="F33" s="43" t="s">
        <v>50</v>
      </c>
      <c r="G33" s="135"/>
      <c r="H33" s="2"/>
      <c r="I33" s="115"/>
      <c r="J33" s="2"/>
      <c r="K33" s="5"/>
      <c r="L33" s="118"/>
      <c r="N33" s="5"/>
      <c r="O33" s="5"/>
      <c r="P33" s="118"/>
      <c r="Q33" s="5"/>
    </row>
  </sheetData>
  <mergeCells count="36">
    <mergeCell ref="F22:F23"/>
    <mergeCell ref="H22:K22"/>
    <mergeCell ref="Q15:S15"/>
    <mergeCell ref="A12:D12"/>
    <mergeCell ref="AI13:BA13"/>
    <mergeCell ref="F12:AA12"/>
    <mergeCell ref="L17:M17"/>
    <mergeCell ref="L18:M18"/>
    <mergeCell ref="U15:U16"/>
    <mergeCell ref="V15:V16"/>
    <mergeCell ref="W15:W16"/>
    <mergeCell ref="BC13:BV13"/>
    <mergeCell ref="A14:D14"/>
    <mergeCell ref="F14:H14"/>
    <mergeCell ref="K14:K16"/>
    <mergeCell ref="M14:O14"/>
    <mergeCell ref="Q14:S14"/>
    <mergeCell ref="T14:W14"/>
    <mergeCell ref="A15:A16"/>
    <mergeCell ref="B15:B16"/>
    <mergeCell ref="D15:D16"/>
    <mergeCell ref="F15:H15"/>
    <mergeCell ref="M15:O15"/>
    <mergeCell ref="T15:T16"/>
    <mergeCell ref="A6:D6"/>
    <mergeCell ref="F6:W6"/>
    <mergeCell ref="A8:D8"/>
    <mergeCell ref="F8:W8"/>
    <mergeCell ref="A10:D10"/>
    <mergeCell ref="F10:W10"/>
    <mergeCell ref="A1:D4"/>
    <mergeCell ref="F1:U4"/>
    <mergeCell ref="V1:W1"/>
    <mergeCell ref="V2:W2"/>
    <mergeCell ref="V3:W3"/>
    <mergeCell ref="V4:W4"/>
  </mergeCells>
  <conditionalFormatting sqref="O18">
    <cfRule type="containsText" dxfId="111" priority="21" operator="containsText" text="E">
      <formula>NOT(ISERROR(SEARCH("E",O18)))</formula>
    </cfRule>
    <cfRule type="containsText" dxfId="110" priority="22" operator="containsText" text="M">
      <formula>NOT(ISERROR(SEARCH("M",O18)))</formula>
    </cfRule>
    <cfRule type="containsText" dxfId="109" priority="23" operator="containsText" text="A">
      <formula>NOT(ISERROR(SEARCH("A",O18)))</formula>
    </cfRule>
    <cfRule type="containsText" dxfId="108" priority="24" operator="containsText" text="B">
      <formula>NOT(ISERROR(SEARCH("B",O18)))</formula>
    </cfRule>
  </conditionalFormatting>
  <conditionalFormatting sqref="J18">
    <cfRule type="containsText" dxfId="107" priority="17" operator="containsText" text="E">
      <formula>NOT(ISERROR(SEARCH("E",J18)))</formula>
    </cfRule>
    <cfRule type="containsText" dxfId="106" priority="18" operator="containsText" text="M">
      <formula>NOT(ISERROR(SEARCH("M",J18)))</formula>
    </cfRule>
    <cfRule type="containsText" dxfId="105" priority="19" operator="containsText" text="A">
      <formula>NOT(ISERROR(SEARCH("A",J18)))</formula>
    </cfRule>
    <cfRule type="containsText" dxfId="104" priority="20" operator="containsText" text="B">
      <formula>NOT(ISERROR(SEARCH("B",J18)))</formula>
    </cfRule>
  </conditionalFormatting>
  <conditionalFormatting sqref="O17">
    <cfRule type="containsText" dxfId="103" priority="5" operator="containsText" text="E">
      <formula>NOT(ISERROR(SEARCH("E",O17)))</formula>
    </cfRule>
    <cfRule type="containsText" dxfId="102" priority="6" operator="containsText" text="M">
      <formula>NOT(ISERROR(SEARCH("M",O17)))</formula>
    </cfRule>
    <cfRule type="containsText" dxfId="101" priority="7" operator="containsText" text="A">
      <formula>NOT(ISERROR(SEARCH("A",O17)))</formula>
    </cfRule>
    <cfRule type="containsText" dxfId="100" priority="8" operator="containsText" text="B">
      <formula>NOT(ISERROR(SEARCH("B",O17)))</formula>
    </cfRule>
  </conditionalFormatting>
  <conditionalFormatting sqref="J17">
    <cfRule type="containsText" dxfId="99" priority="1" operator="containsText" text="E">
      <formula>NOT(ISERROR(SEARCH("E",J17)))</formula>
    </cfRule>
    <cfRule type="containsText" dxfId="98" priority="2" operator="containsText" text="M">
      <formula>NOT(ISERROR(SEARCH("M",J17)))</formula>
    </cfRule>
    <cfRule type="containsText" dxfId="97" priority="3" operator="containsText" text="A">
      <formula>NOT(ISERROR(SEARCH("A",J17)))</formula>
    </cfRule>
    <cfRule type="containsText" dxfId="96" priority="4" operator="containsText" text="B">
      <formula>NOT(ISERROR(SEARCH("B",J17)))</formula>
    </cfRule>
  </conditionalFormatting>
  <dataValidations count="3">
    <dataValidation type="list" allowBlank="1" showInputMessage="1" showErrorMessage="1" sqref="M19:P19">
      <formula1>#REF!</formula1>
    </dataValidation>
    <dataValidation type="list" allowBlank="1" showInputMessage="1" showErrorMessage="1" sqref="Q19:R19">
      <formula1>$J$30:$J$33</formula1>
    </dataValidation>
    <dataValidation type="list" allowBlank="1" showInputMessage="1" showErrorMessage="1" promptTitle="AFECTA A:" prompt="Seleccione según a quien afecte el control" sqref="L17:M18">
      <formula1>#REF!</formula1>
    </dataValidation>
  </dataValidations>
  <pageMargins left="0.7" right="0.7" top="0.75" bottom="0.75" header="0.3" footer="0.3"/>
  <pageSetup scale="1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1"/>
  <sheetViews>
    <sheetView showGridLines="0" view="pageBreakPreview" topLeftCell="R11" zoomScale="98" zoomScaleNormal="70" zoomScaleSheetLayoutView="98" workbookViewId="0">
      <selection activeCell="W17" sqref="W17"/>
    </sheetView>
  </sheetViews>
  <sheetFormatPr baseColWidth="10" defaultColWidth="11.42578125" defaultRowHeight="14.25" x14ac:dyDescent="0.25"/>
  <cols>
    <col min="1" max="1" width="41.28515625" style="2" customWidth="1"/>
    <col min="2" max="2" width="40.42578125" style="2" customWidth="1"/>
    <col min="3" max="3" width="40.42578125" style="115" customWidth="1"/>
    <col min="4" max="4" width="40.42578125" style="2" customWidth="1"/>
    <col min="5" max="5" width="40.42578125" style="115" customWidth="1"/>
    <col min="6" max="6" width="27" style="5" customWidth="1"/>
    <col min="7" max="7" width="27" style="118" customWidth="1"/>
    <col min="8" max="8" width="19" style="5" customWidth="1"/>
    <col min="9" max="9" width="19" style="118" customWidth="1"/>
    <col min="10" max="10" width="26.7109375" style="5" customWidth="1"/>
    <col min="11" max="11" width="31.5703125" style="2" customWidth="1"/>
    <col min="12" max="12" width="29.7109375" style="115" customWidth="1"/>
    <col min="13" max="13" width="17.7109375" style="5" customWidth="1"/>
    <col min="14" max="14" width="18.5703125" style="2" customWidth="1"/>
    <col min="15" max="15" width="21.7109375" style="2" customWidth="1"/>
    <col min="16" max="16" width="21.7109375" style="115" customWidth="1"/>
    <col min="17" max="17" width="19.85546875" style="2" customWidth="1"/>
    <col min="18" max="18" width="50.7109375" style="2" customWidth="1"/>
    <col min="19" max="19" width="20.140625" style="2" customWidth="1"/>
    <col min="20" max="20" width="24.140625" style="5" customWidth="1"/>
    <col min="21" max="21" width="83.140625" style="2" customWidth="1"/>
    <col min="22" max="22" width="30.42578125" style="2" customWidth="1"/>
    <col min="23" max="23" width="58.5703125" style="2" customWidth="1"/>
    <col min="24" max="24" width="15.28515625" style="2" customWidth="1"/>
    <col min="25" max="25" width="36" style="2" hidden="1" customWidth="1"/>
    <col min="26" max="26" width="0" style="2" hidden="1" customWidth="1"/>
    <col min="27" max="72" width="11.42578125" style="2" hidden="1" customWidth="1"/>
    <col min="73" max="73" width="19.85546875" style="2" customWidth="1"/>
    <col min="74" max="74" width="11.42578125" style="2" customWidth="1"/>
    <col min="75" max="16384" width="11.42578125" style="2"/>
  </cols>
  <sheetData>
    <row r="1" spans="1:73" ht="21" customHeight="1" x14ac:dyDescent="0.25">
      <c r="A1" s="573"/>
      <c r="B1" s="573"/>
      <c r="C1" s="573"/>
      <c r="D1" s="573"/>
      <c r="E1" s="72"/>
      <c r="F1" s="574" t="s">
        <v>0</v>
      </c>
      <c r="G1" s="575"/>
      <c r="H1" s="575"/>
      <c r="I1" s="575"/>
      <c r="J1" s="575"/>
      <c r="K1" s="575"/>
      <c r="L1" s="575"/>
      <c r="M1" s="575"/>
      <c r="N1" s="575"/>
      <c r="O1" s="575"/>
      <c r="P1" s="575"/>
      <c r="Q1" s="575"/>
      <c r="R1" s="575"/>
      <c r="S1" s="575"/>
      <c r="T1" s="575"/>
      <c r="U1" s="576"/>
      <c r="V1" s="583" t="s">
        <v>223</v>
      </c>
      <c r="W1" s="584"/>
      <c r="X1" s="1"/>
      <c r="Y1" s="1"/>
    </row>
    <row r="2" spans="1:73" ht="22.5" customHeight="1" x14ac:dyDescent="0.25">
      <c r="A2" s="573"/>
      <c r="B2" s="573"/>
      <c r="C2" s="573"/>
      <c r="D2" s="573"/>
      <c r="E2" s="73"/>
      <c r="F2" s="577"/>
      <c r="G2" s="578"/>
      <c r="H2" s="578"/>
      <c r="I2" s="578"/>
      <c r="J2" s="578"/>
      <c r="K2" s="578"/>
      <c r="L2" s="578"/>
      <c r="M2" s="578"/>
      <c r="N2" s="578"/>
      <c r="O2" s="578"/>
      <c r="P2" s="578"/>
      <c r="Q2" s="578"/>
      <c r="R2" s="578"/>
      <c r="S2" s="578"/>
      <c r="T2" s="578"/>
      <c r="U2" s="579"/>
      <c r="V2" s="583" t="s">
        <v>149</v>
      </c>
      <c r="W2" s="584"/>
      <c r="X2" s="1"/>
      <c r="Y2" s="1"/>
    </row>
    <row r="3" spans="1:73" ht="21" customHeight="1" x14ac:dyDescent="0.25">
      <c r="A3" s="573"/>
      <c r="B3" s="573"/>
      <c r="C3" s="573"/>
      <c r="D3" s="573"/>
      <c r="E3" s="73"/>
      <c r="F3" s="577"/>
      <c r="G3" s="578"/>
      <c r="H3" s="578"/>
      <c r="I3" s="578"/>
      <c r="J3" s="578"/>
      <c r="K3" s="578"/>
      <c r="L3" s="578"/>
      <c r="M3" s="578"/>
      <c r="N3" s="578"/>
      <c r="O3" s="578"/>
      <c r="P3" s="578"/>
      <c r="Q3" s="578"/>
      <c r="R3" s="578"/>
      <c r="S3" s="578"/>
      <c r="T3" s="578"/>
      <c r="U3" s="579"/>
      <c r="V3" s="583" t="s">
        <v>150</v>
      </c>
      <c r="W3" s="584"/>
      <c r="X3" s="1"/>
      <c r="Y3" s="1"/>
    </row>
    <row r="4" spans="1:73" ht="20.25" customHeight="1" x14ac:dyDescent="0.25">
      <c r="A4" s="573"/>
      <c r="B4" s="573"/>
      <c r="C4" s="573"/>
      <c r="D4" s="573"/>
      <c r="E4" s="74"/>
      <c r="F4" s="580"/>
      <c r="G4" s="581"/>
      <c r="H4" s="581"/>
      <c r="I4" s="581"/>
      <c r="J4" s="581"/>
      <c r="K4" s="581"/>
      <c r="L4" s="581"/>
      <c r="M4" s="581"/>
      <c r="N4" s="581"/>
      <c r="O4" s="581"/>
      <c r="P4" s="581"/>
      <c r="Q4" s="581"/>
      <c r="R4" s="581"/>
      <c r="S4" s="581"/>
      <c r="T4" s="581"/>
      <c r="U4" s="582"/>
      <c r="V4" s="583" t="s">
        <v>1</v>
      </c>
      <c r="W4" s="584"/>
      <c r="X4" s="1"/>
      <c r="Y4" s="1"/>
    </row>
    <row r="5" spans="1:73" ht="8.25" customHeight="1" x14ac:dyDescent="0.25">
      <c r="B5" s="3"/>
      <c r="C5" s="116"/>
      <c r="D5" s="3"/>
      <c r="E5" s="116"/>
      <c r="F5" s="4"/>
      <c r="G5" s="117"/>
      <c r="H5" s="4"/>
      <c r="I5" s="117"/>
      <c r="J5" s="4"/>
      <c r="K5" s="4"/>
      <c r="L5" s="117"/>
      <c r="M5" s="4"/>
      <c r="N5" s="4"/>
      <c r="O5" s="4"/>
      <c r="P5" s="117"/>
      <c r="Q5" s="4"/>
      <c r="R5" s="4"/>
      <c r="X5" s="6"/>
      <c r="Y5" s="6"/>
    </row>
    <row r="6" spans="1:73" ht="15" x14ac:dyDescent="0.25">
      <c r="A6" s="553" t="s">
        <v>2</v>
      </c>
      <c r="B6" s="553"/>
      <c r="C6" s="553"/>
      <c r="D6" s="553"/>
      <c r="E6" s="75"/>
      <c r="F6" s="567" t="str">
        <f>[5]IdentRiesgo!B2</f>
        <v>Generación de conocimiento e investigación</v>
      </c>
      <c r="G6" s="568"/>
      <c r="H6" s="568"/>
      <c r="I6" s="568"/>
      <c r="J6" s="568"/>
      <c r="K6" s="568"/>
      <c r="L6" s="568"/>
      <c r="M6" s="568"/>
      <c r="N6" s="568"/>
      <c r="O6" s="568"/>
      <c r="P6" s="568"/>
      <c r="Q6" s="568"/>
      <c r="R6" s="568"/>
      <c r="S6" s="568"/>
      <c r="T6" s="568"/>
      <c r="U6" s="568"/>
      <c r="V6" s="568"/>
      <c r="W6" s="569"/>
      <c r="X6" s="6"/>
      <c r="Y6" s="6"/>
    </row>
    <row r="7" spans="1:73" ht="6.75" customHeight="1" x14ac:dyDescent="0.25">
      <c r="B7" s="3"/>
      <c r="C7" s="116"/>
      <c r="D7" s="3"/>
      <c r="E7" s="116"/>
      <c r="F7" s="7"/>
      <c r="G7" s="121"/>
      <c r="H7" s="7"/>
      <c r="I7" s="121"/>
      <c r="J7" s="7"/>
      <c r="K7" s="7"/>
      <c r="L7" s="121"/>
      <c r="M7" s="7"/>
      <c r="N7" s="7"/>
      <c r="O7" s="7"/>
      <c r="P7" s="121"/>
      <c r="Q7" s="7"/>
      <c r="R7" s="7"/>
      <c r="S7" s="8"/>
      <c r="T7" s="8"/>
      <c r="U7" s="8"/>
      <c r="V7" s="8"/>
      <c r="W7" s="8"/>
      <c r="X7" s="6"/>
      <c r="Y7" s="6"/>
    </row>
    <row r="8" spans="1:73" ht="39.75" customHeight="1" x14ac:dyDescent="0.25">
      <c r="A8" s="553" t="s">
        <v>3</v>
      </c>
      <c r="B8" s="553"/>
      <c r="C8" s="553"/>
      <c r="D8" s="553"/>
      <c r="E8" s="75"/>
      <c r="F8" s="570" t="str">
        <f>[5]IdentRiesgo!B3</f>
        <v xml:space="preserve">Generar conocimiento e investigación sobre la dinámica de los recursos naturales y su interacción con la sociedad, para la toma de decisiones. </v>
      </c>
      <c r="G8" s="571"/>
      <c r="H8" s="571"/>
      <c r="I8" s="571"/>
      <c r="J8" s="571"/>
      <c r="K8" s="571"/>
      <c r="L8" s="571"/>
      <c r="M8" s="571"/>
      <c r="N8" s="571"/>
      <c r="O8" s="571"/>
      <c r="P8" s="571"/>
      <c r="Q8" s="571"/>
      <c r="R8" s="571"/>
      <c r="S8" s="571"/>
      <c r="T8" s="571"/>
      <c r="U8" s="571"/>
      <c r="V8" s="571"/>
      <c r="W8" s="572"/>
      <c r="X8" s="9"/>
      <c r="Y8" s="9"/>
    </row>
    <row r="9" spans="1:73" ht="6.75" customHeight="1" x14ac:dyDescent="0.25">
      <c r="B9" s="10"/>
      <c r="C9" s="119"/>
      <c r="D9" s="10"/>
      <c r="E9" s="119"/>
      <c r="F9" s="11"/>
      <c r="G9" s="122"/>
      <c r="H9" s="11"/>
      <c r="I9" s="122"/>
      <c r="J9" s="11"/>
      <c r="K9" s="11"/>
      <c r="L9" s="122"/>
      <c r="M9" s="11"/>
      <c r="N9" s="11"/>
      <c r="O9" s="11"/>
      <c r="P9" s="122"/>
      <c r="Q9" s="11"/>
      <c r="R9" s="11"/>
      <c r="S9" s="8"/>
      <c r="T9" s="8"/>
      <c r="U9" s="8"/>
      <c r="V9" s="8"/>
      <c r="W9" s="8"/>
      <c r="X9" s="6"/>
      <c r="Y9" s="6"/>
    </row>
    <row r="10" spans="1:73" ht="15" x14ac:dyDescent="0.25">
      <c r="A10" s="553" t="s">
        <v>4</v>
      </c>
      <c r="B10" s="553"/>
      <c r="C10" s="553"/>
      <c r="D10" s="553"/>
      <c r="E10" s="75"/>
      <c r="F10" s="554" t="s">
        <v>61</v>
      </c>
      <c r="G10" s="555"/>
      <c r="H10" s="555"/>
      <c r="I10" s="555"/>
      <c r="J10" s="555"/>
      <c r="K10" s="555"/>
      <c r="L10" s="555"/>
      <c r="M10" s="555"/>
      <c r="N10" s="555"/>
      <c r="O10" s="555"/>
      <c r="P10" s="555"/>
      <c r="Q10" s="555"/>
      <c r="R10" s="555"/>
      <c r="S10" s="555"/>
      <c r="T10" s="555"/>
      <c r="U10" s="555"/>
      <c r="V10" s="555"/>
      <c r="W10" s="556"/>
      <c r="X10" s="12"/>
      <c r="Y10" s="12"/>
    </row>
    <row r="11" spans="1:73" ht="5.25" customHeight="1" x14ac:dyDescent="0.25">
      <c r="B11" s="3"/>
      <c r="C11" s="116"/>
      <c r="D11" s="3"/>
      <c r="E11" s="116"/>
      <c r="F11" s="13"/>
      <c r="G11" s="141"/>
      <c r="H11" s="13"/>
      <c r="I11" s="141"/>
      <c r="J11" s="13"/>
      <c r="K11" s="13"/>
      <c r="L11" s="141"/>
      <c r="M11" s="13"/>
      <c r="N11" s="13"/>
      <c r="O11" s="13"/>
      <c r="P11" s="141"/>
      <c r="Q11" s="13"/>
      <c r="R11" s="13"/>
      <c r="S11" s="8"/>
      <c r="T11" s="8"/>
      <c r="U11" s="8"/>
      <c r="V11" s="8"/>
      <c r="W11" s="8"/>
      <c r="X11" s="6"/>
      <c r="Y11" s="6"/>
    </row>
    <row r="12" spans="1:73" ht="15" x14ac:dyDescent="0.25">
      <c r="A12" s="553" t="s">
        <v>5</v>
      </c>
      <c r="B12" s="553"/>
      <c r="C12" s="553"/>
      <c r="D12" s="553"/>
      <c r="E12" s="75"/>
      <c r="F12" s="554" t="s">
        <v>300</v>
      </c>
      <c r="G12" s="555"/>
      <c r="H12" s="555"/>
      <c r="I12" s="555"/>
      <c r="J12" s="555"/>
      <c r="K12" s="555"/>
      <c r="L12" s="555"/>
      <c r="M12" s="555"/>
      <c r="N12" s="555"/>
      <c r="O12" s="555"/>
      <c r="P12" s="555"/>
      <c r="Q12" s="555"/>
      <c r="R12" s="555"/>
      <c r="S12" s="555"/>
      <c r="T12" s="555"/>
      <c r="U12" s="555"/>
      <c r="V12" s="555"/>
      <c r="W12" s="556"/>
      <c r="X12" s="12"/>
      <c r="Y12" s="12"/>
      <c r="AB12" s="2" t="s">
        <v>6</v>
      </c>
    </row>
    <row r="13" spans="1:73" ht="15.75" thickBot="1" x14ac:dyDescent="0.3">
      <c r="B13" s="3"/>
      <c r="C13" s="116"/>
      <c r="D13" s="3"/>
      <c r="E13" s="116"/>
      <c r="F13" s="14"/>
      <c r="G13" s="123"/>
      <c r="H13" s="15"/>
      <c r="I13" s="120"/>
      <c r="J13" s="15"/>
      <c r="K13" s="7"/>
      <c r="L13" s="121"/>
      <c r="M13" s="15"/>
      <c r="N13" s="7"/>
      <c r="O13" s="7"/>
      <c r="P13" s="121"/>
      <c r="Q13" s="7"/>
      <c r="R13" s="7"/>
      <c r="S13" s="7"/>
      <c r="T13" s="15"/>
      <c r="U13" s="7"/>
      <c r="X13" s="6"/>
      <c r="Y13" s="6"/>
      <c r="AB13" s="2" t="s">
        <v>7</v>
      </c>
      <c r="AH13" s="557" t="s">
        <v>8</v>
      </c>
      <c r="AI13" s="557"/>
      <c r="AJ13" s="557"/>
      <c r="AK13" s="557"/>
      <c r="AL13" s="557"/>
      <c r="AM13" s="557"/>
      <c r="AN13" s="557"/>
      <c r="AO13" s="557"/>
      <c r="AP13" s="557"/>
      <c r="AQ13" s="557"/>
      <c r="AR13" s="557"/>
      <c r="AS13" s="557"/>
      <c r="AT13" s="557"/>
      <c r="AU13" s="557"/>
      <c r="AV13" s="557"/>
      <c r="AW13" s="557"/>
      <c r="AX13" s="557"/>
      <c r="AY13" s="557"/>
      <c r="AZ13" s="557"/>
      <c r="BB13" s="557"/>
      <c r="BC13" s="557"/>
      <c r="BD13" s="557"/>
      <c r="BE13" s="557"/>
      <c r="BF13" s="557"/>
      <c r="BG13" s="557"/>
      <c r="BH13" s="557"/>
      <c r="BI13" s="557"/>
      <c r="BJ13" s="557"/>
      <c r="BK13" s="557"/>
      <c r="BL13" s="557"/>
      <c r="BM13" s="557"/>
      <c r="BN13" s="557"/>
      <c r="BO13" s="557"/>
      <c r="BP13" s="557"/>
      <c r="BQ13" s="557"/>
      <c r="BR13" s="557"/>
      <c r="BS13" s="557"/>
      <c r="BT13" s="557"/>
      <c r="BU13" s="557"/>
    </row>
    <row r="14" spans="1:73" s="17" customFormat="1" ht="15" customHeight="1" x14ac:dyDescent="0.25">
      <c r="A14" s="558" t="s">
        <v>10</v>
      </c>
      <c r="B14" s="559"/>
      <c r="C14" s="559"/>
      <c r="D14" s="560"/>
      <c r="E14" s="76"/>
      <c r="F14" s="561" t="s">
        <v>11</v>
      </c>
      <c r="G14" s="561"/>
      <c r="H14" s="561"/>
      <c r="I14" s="136"/>
      <c r="J14" s="16"/>
      <c r="K14" s="562" t="s">
        <v>12</v>
      </c>
      <c r="L14" s="80"/>
      <c r="M14" s="558" t="s">
        <v>13</v>
      </c>
      <c r="N14" s="559"/>
      <c r="O14" s="560"/>
      <c r="P14" s="272"/>
      <c r="Q14" s="565" t="s">
        <v>14</v>
      </c>
      <c r="R14" s="565"/>
      <c r="S14" s="565"/>
      <c r="T14" s="565" t="s">
        <v>15</v>
      </c>
      <c r="U14" s="565"/>
      <c r="V14" s="565"/>
      <c r="W14" s="561"/>
    </row>
    <row r="15" spans="1:73" s="17" customFormat="1" ht="14.25" customHeight="1" x14ac:dyDescent="0.25">
      <c r="A15" s="563" t="s">
        <v>16</v>
      </c>
      <c r="B15" s="563" t="s">
        <v>17</v>
      </c>
      <c r="C15" s="273" t="s">
        <v>70</v>
      </c>
      <c r="D15" s="563" t="s">
        <v>18</v>
      </c>
      <c r="E15" s="273"/>
      <c r="F15" s="543" t="s">
        <v>19</v>
      </c>
      <c r="G15" s="543"/>
      <c r="H15" s="543"/>
      <c r="I15" s="269"/>
      <c r="J15" s="49"/>
      <c r="K15" s="563"/>
      <c r="L15" s="79"/>
      <c r="M15" s="548" t="s">
        <v>20</v>
      </c>
      <c r="N15" s="549"/>
      <c r="O15" s="550"/>
      <c r="P15" s="271"/>
      <c r="Q15" s="548" t="s">
        <v>21</v>
      </c>
      <c r="R15" s="549"/>
      <c r="S15" s="550"/>
      <c r="T15" s="543" t="s">
        <v>22</v>
      </c>
      <c r="U15" s="543" t="s">
        <v>23</v>
      </c>
      <c r="V15" s="543" t="s">
        <v>4</v>
      </c>
      <c r="W15" s="543" t="s">
        <v>24</v>
      </c>
      <c r="X15" s="492"/>
    </row>
    <row r="16" spans="1:73" s="17" customFormat="1" ht="63" customHeight="1" x14ac:dyDescent="0.25">
      <c r="A16" s="566"/>
      <c r="B16" s="566"/>
      <c r="C16" s="275"/>
      <c r="D16" s="566"/>
      <c r="E16" s="275" t="s">
        <v>71</v>
      </c>
      <c r="F16" s="49" t="s">
        <v>25</v>
      </c>
      <c r="G16" s="269" t="s">
        <v>70</v>
      </c>
      <c r="H16" s="49" t="s">
        <v>9</v>
      </c>
      <c r="I16" s="269" t="s">
        <v>70</v>
      </c>
      <c r="J16" s="49" t="s">
        <v>26</v>
      </c>
      <c r="K16" s="564"/>
      <c r="L16" s="274" t="s">
        <v>72</v>
      </c>
      <c r="M16" s="19" t="s">
        <v>25</v>
      </c>
      <c r="N16" s="19" t="s">
        <v>9</v>
      </c>
      <c r="O16" s="48" t="s">
        <v>26</v>
      </c>
      <c r="P16" s="275" t="s">
        <v>74</v>
      </c>
      <c r="Q16" s="49" t="s">
        <v>27</v>
      </c>
      <c r="R16" s="49" t="s">
        <v>23</v>
      </c>
      <c r="S16" s="49" t="s">
        <v>28</v>
      </c>
      <c r="T16" s="543"/>
      <c r="U16" s="543"/>
      <c r="V16" s="543"/>
      <c r="W16" s="543"/>
      <c r="X16" s="492"/>
    </row>
    <row r="17" spans="1:24" ht="409.5" customHeight="1" x14ac:dyDescent="0.25">
      <c r="A17" s="430" t="s">
        <v>225</v>
      </c>
      <c r="B17" s="430" t="s">
        <v>226</v>
      </c>
      <c r="C17" s="124" t="s">
        <v>198</v>
      </c>
      <c r="D17" s="124" t="s">
        <v>199</v>
      </c>
      <c r="E17" s="124" t="s">
        <v>186</v>
      </c>
      <c r="F17" s="423">
        <v>2</v>
      </c>
      <c r="G17" s="423" t="s">
        <v>88</v>
      </c>
      <c r="H17" s="423">
        <v>20</v>
      </c>
      <c r="I17" s="423" t="s">
        <v>200</v>
      </c>
      <c r="J17" s="343" t="s">
        <v>42</v>
      </c>
      <c r="K17" s="126" t="s">
        <v>227</v>
      </c>
      <c r="L17" s="407" t="s">
        <v>9</v>
      </c>
      <c r="M17" s="423"/>
      <c r="N17" s="407"/>
      <c r="O17" s="343" t="s">
        <v>39</v>
      </c>
      <c r="P17" s="337" t="s">
        <v>78</v>
      </c>
      <c r="Q17" s="420" t="s">
        <v>63</v>
      </c>
      <c r="R17" s="431" t="s">
        <v>228</v>
      </c>
      <c r="S17" s="420" t="s">
        <v>229</v>
      </c>
      <c r="T17" s="421"/>
      <c r="U17" s="432"/>
      <c r="V17" s="433" t="s">
        <v>230</v>
      </c>
      <c r="W17" s="526" t="s">
        <v>282</v>
      </c>
      <c r="X17" s="432"/>
    </row>
    <row r="18" spans="1:24" ht="52.5" customHeight="1" x14ac:dyDescent="0.25">
      <c r="A18" s="425"/>
      <c r="B18" s="81"/>
      <c r="C18" s="81"/>
      <c r="D18" s="81"/>
      <c r="E18" s="139"/>
    </row>
    <row r="19" spans="1:24" ht="15" thickBot="1" x14ac:dyDescent="0.3">
      <c r="A19" s="26"/>
      <c r="B19" s="28"/>
      <c r="C19" s="126"/>
      <c r="D19" s="28"/>
      <c r="E19" s="139"/>
      <c r="H19" s="30"/>
      <c r="I19" s="140"/>
      <c r="J19" s="30"/>
    </row>
    <row r="20" spans="1:24" ht="15.75" thickBot="1" x14ac:dyDescent="0.3">
      <c r="A20" s="6"/>
      <c r="B20" s="31"/>
      <c r="C20" s="139"/>
      <c r="D20" s="31"/>
      <c r="E20" s="139"/>
      <c r="F20" s="544" t="s">
        <v>25</v>
      </c>
      <c r="G20" s="77"/>
      <c r="H20" s="546" t="s">
        <v>9</v>
      </c>
      <c r="I20" s="546"/>
      <c r="J20" s="546"/>
      <c r="K20" s="547"/>
      <c r="L20" s="82"/>
      <c r="M20" s="2"/>
      <c r="R20" s="5"/>
      <c r="T20" s="2"/>
    </row>
    <row r="21" spans="1:24" ht="32.25" customHeight="1" thickBot="1" x14ac:dyDescent="0.3">
      <c r="A21" s="5"/>
      <c r="B21" s="32" t="s">
        <v>33</v>
      </c>
      <c r="C21" s="127"/>
      <c r="D21" s="32"/>
      <c r="E21" s="127"/>
      <c r="F21" s="545"/>
      <c r="G21" s="270"/>
      <c r="H21" s="33" t="s">
        <v>34</v>
      </c>
      <c r="I21" s="128"/>
      <c r="J21" s="34" t="s">
        <v>35</v>
      </c>
      <c r="K21" s="33" t="s">
        <v>36</v>
      </c>
      <c r="L21" s="83"/>
      <c r="M21" s="2"/>
      <c r="R21" s="5"/>
      <c r="T21" s="2"/>
    </row>
    <row r="22" spans="1:24" ht="15.75" thickBot="1" x14ac:dyDescent="0.3">
      <c r="B22" s="5" t="s">
        <v>37</v>
      </c>
      <c r="C22" s="118"/>
      <c r="F22" s="35" t="s">
        <v>38</v>
      </c>
      <c r="G22" s="129"/>
      <c r="H22" s="36" t="s">
        <v>39</v>
      </c>
      <c r="I22" s="130"/>
      <c r="J22" s="36" t="s">
        <v>39</v>
      </c>
      <c r="K22" s="37" t="s">
        <v>40</v>
      </c>
      <c r="L22" s="84"/>
      <c r="M22" s="2"/>
      <c r="R22" s="5"/>
      <c r="T22" s="2"/>
    </row>
    <row r="23" spans="1:24" ht="15.75" thickBot="1" x14ac:dyDescent="0.3">
      <c r="F23" s="35" t="s">
        <v>41</v>
      </c>
      <c r="G23" s="129"/>
      <c r="H23" s="36" t="s">
        <v>39</v>
      </c>
      <c r="I23" s="130"/>
      <c r="J23" s="37" t="s">
        <v>40</v>
      </c>
      <c r="K23" s="38" t="s">
        <v>42</v>
      </c>
      <c r="L23" s="85"/>
      <c r="M23" s="2"/>
      <c r="R23" s="5"/>
      <c r="T23" s="2"/>
    </row>
    <row r="24" spans="1:24" ht="15.75" thickBot="1" x14ac:dyDescent="0.3">
      <c r="F24" s="35" t="s">
        <v>43</v>
      </c>
      <c r="G24" s="129"/>
      <c r="H24" s="37" t="s">
        <v>40</v>
      </c>
      <c r="I24" s="131"/>
      <c r="J24" s="38" t="s">
        <v>42</v>
      </c>
      <c r="K24" s="39" t="s">
        <v>44</v>
      </c>
      <c r="L24" s="86"/>
      <c r="M24" s="2"/>
      <c r="R24" s="5"/>
      <c r="T24" s="2"/>
    </row>
    <row r="25" spans="1:24" ht="15.75" thickBot="1" x14ac:dyDescent="0.3">
      <c r="F25" s="35" t="s">
        <v>45</v>
      </c>
      <c r="G25" s="129"/>
      <c r="H25" s="37" t="s">
        <v>40</v>
      </c>
      <c r="I25" s="131"/>
      <c r="J25" s="38" t="s">
        <v>42</v>
      </c>
      <c r="K25" s="39" t="s">
        <v>44</v>
      </c>
      <c r="L25" s="86"/>
      <c r="M25" s="2"/>
      <c r="R25" s="5"/>
      <c r="T25" s="2"/>
    </row>
    <row r="26" spans="1:24" ht="15.75" thickBot="1" x14ac:dyDescent="0.3">
      <c r="F26" s="35" t="s">
        <v>46</v>
      </c>
      <c r="G26" s="129"/>
      <c r="H26" s="37" t="s">
        <v>40</v>
      </c>
      <c r="I26" s="131"/>
      <c r="J26" s="38" t="s">
        <v>42</v>
      </c>
      <c r="K26" s="39" t="s">
        <v>44</v>
      </c>
      <c r="L26" s="86"/>
      <c r="M26" s="2"/>
      <c r="R26" s="5"/>
      <c r="T26" s="2"/>
    </row>
    <row r="27" spans="1:24" x14ac:dyDescent="0.25">
      <c r="F27" s="2"/>
      <c r="G27" s="115"/>
      <c r="H27" s="2"/>
      <c r="I27" s="115"/>
      <c r="J27" s="2"/>
      <c r="K27" s="5"/>
      <c r="L27" s="118"/>
      <c r="N27" s="5"/>
    </row>
    <row r="28" spans="1:24" ht="15" x14ac:dyDescent="0.25">
      <c r="F28" s="40" t="s">
        <v>47</v>
      </c>
      <c r="G28" s="132"/>
      <c r="H28" s="2"/>
      <c r="I28" s="115"/>
      <c r="J28" s="2"/>
      <c r="K28" s="5"/>
      <c r="L28" s="118"/>
      <c r="N28" s="5"/>
      <c r="O28" s="5"/>
      <c r="P28" s="118"/>
      <c r="Q28" s="5"/>
    </row>
    <row r="29" spans="1:24" ht="15" x14ac:dyDescent="0.25">
      <c r="F29" s="41" t="s">
        <v>48</v>
      </c>
      <c r="G29" s="133"/>
      <c r="H29" s="2"/>
      <c r="I29" s="115"/>
      <c r="J29" s="2"/>
      <c r="K29" s="5"/>
      <c r="L29" s="118"/>
      <c r="N29" s="5"/>
      <c r="O29" s="5"/>
      <c r="P29" s="118"/>
      <c r="Q29" s="5"/>
    </row>
    <row r="30" spans="1:24" ht="15" x14ac:dyDescent="0.25">
      <c r="F30" s="42" t="s">
        <v>49</v>
      </c>
      <c r="G30" s="134"/>
      <c r="H30" s="2"/>
      <c r="I30" s="115"/>
      <c r="J30" s="2"/>
      <c r="K30" s="5"/>
      <c r="L30" s="118"/>
      <c r="N30" s="5"/>
      <c r="O30" s="5"/>
      <c r="P30" s="118"/>
      <c r="Q30" s="5"/>
    </row>
    <row r="31" spans="1:24" ht="15" x14ac:dyDescent="0.25">
      <c r="F31" s="43" t="s">
        <v>50</v>
      </c>
      <c r="G31" s="135"/>
      <c r="H31" s="2"/>
      <c r="I31" s="115"/>
      <c r="J31" s="2"/>
      <c r="K31" s="5"/>
      <c r="L31" s="118"/>
      <c r="N31" s="5"/>
      <c r="O31" s="5"/>
      <c r="P31" s="118"/>
      <c r="Q31" s="5"/>
    </row>
  </sheetData>
  <mergeCells count="34">
    <mergeCell ref="A1:D4"/>
    <mergeCell ref="F1:U4"/>
    <mergeCell ref="V1:W1"/>
    <mergeCell ref="V2:W2"/>
    <mergeCell ref="V3:W3"/>
    <mergeCell ref="V4:W4"/>
    <mergeCell ref="A6:D6"/>
    <mergeCell ref="F6:W6"/>
    <mergeCell ref="A8:D8"/>
    <mergeCell ref="F8:W8"/>
    <mergeCell ref="A10:D10"/>
    <mergeCell ref="F10:W10"/>
    <mergeCell ref="A12:D12"/>
    <mergeCell ref="F12:W12"/>
    <mergeCell ref="AH13:AZ13"/>
    <mergeCell ref="BB13:BU13"/>
    <mergeCell ref="A14:D14"/>
    <mergeCell ref="F14:H14"/>
    <mergeCell ref="K14:K16"/>
    <mergeCell ref="M14:O14"/>
    <mergeCell ref="Q14:S14"/>
    <mergeCell ref="T14:W14"/>
    <mergeCell ref="A15:A16"/>
    <mergeCell ref="B15:B16"/>
    <mergeCell ref="D15:D16"/>
    <mergeCell ref="F15:H15"/>
    <mergeCell ref="M15:O15"/>
    <mergeCell ref="T15:T16"/>
    <mergeCell ref="U15:U16"/>
    <mergeCell ref="V15:V16"/>
    <mergeCell ref="W15:W16"/>
    <mergeCell ref="F20:F21"/>
    <mergeCell ref="H20:K20"/>
    <mergeCell ref="Q15:S15"/>
  </mergeCells>
  <conditionalFormatting sqref="J17">
    <cfRule type="containsText" dxfId="95" priority="5" operator="containsText" text="E">
      <formula>NOT(ISERROR(SEARCH("E",J17)))</formula>
    </cfRule>
    <cfRule type="containsText" dxfId="94" priority="6" operator="containsText" text="M">
      <formula>NOT(ISERROR(SEARCH("M",J17)))</formula>
    </cfRule>
    <cfRule type="containsText" dxfId="93" priority="7" operator="containsText" text="A">
      <formula>NOT(ISERROR(SEARCH("A",J17)))</formula>
    </cfRule>
    <cfRule type="containsText" dxfId="92" priority="8" operator="containsText" text="B">
      <formula>NOT(ISERROR(SEARCH("B",J17)))</formula>
    </cfRule>
  </conditionalFormatting>
  <conditionalFormatting sqref="O17">
    <cfRule type="containsText" dxfId="91" priority="1" operator="containsText" text="E">
      <formula>NOT(ISERROR(SEARCH("E",O17)))</formula>
    </cfRule>
    <cfRule type="containsText" dxfId="90" priority="2" operator="containsText" text="M">
      <formula>NOT(ISERROR(SEARCH("M",O17)))</formula>
    </cfRule>
    <cfRule type="containsText" dxfId="89" priority="3" operator="containsText" text="A">
      <formula>NOT(ISERROR(SEARCH("A",O17)))</formula>
    </cfRule>
    <cfRule type="containsText" dxfId="88" priority="4" operator="containsText" text="B">
      <formula>NOT(ISERROR(SEARCH("B",O17)))</formula>
    </cfRule>
  </conditionalFormatting>
  <dataValidations count="1">
    <dataValidation type="list" allowBlank="1" showInputMessage="1" showErrorMessage="1" sqref="M17:N17">
      <formula1>#REF!</formula1>
    </dataValidation>
  </dataValidations>
  <pageMargins left="0.7" right="0.7" top="0.75" bottom="0.75" header="0.3" footer="0.3"/>
  <pageSetup scale="1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
  <sheetViews>
    <sheetView showGridLines="0" view="pageBreakPreview" topLeftCell="R12" zoomScale="130" zoomScaleNormal="70" zoomScaleSheetLayoutView="130" workbookViewId="0">
      <pane xSplit="28110" topLeftCell="U1"/>
      <selection activeCell="W17" sqref="W17"/>
      <selection pane="topRight" activeCell="V18" sqref="V18"/>
    </sheetView>
  </sheetViews>
  <sheetFormatPr baseColWidth="10" defaultColWidth="11.42578125" defaultRowHeight="14.25" x14ac:dyDescent="0.25"/>
  <cols>
    <col min="1" max="1" width="56.5703125" style="115" customWidth="1"/>
    <col min="2" max="5" width="40.42578125" style="115" customWidth="1"/>
    <col min="6" max="7" width="27" style="118" customWidth="1"/>
    <col min="8" max="9" width="19" style="118" customWidth="1"/>
    <col min="10" max="10" width="26.7109375" style="118" customWidth="1"/>
    <col min="11" max="11" width="29.7109375" style="115" customWidth="1"/>
    <col min="12" max="12" width="17.7109375" style="118" customWidth="1"/>
    <col min="13" max="13" width="18.5703125" style="115" customWidth="1"/>
    <col min="14" max="15" width="21.7109375" style="115" customWidth="1"/>
    <col min="16" max="16" width="19.85546875" style="115" customWidth="1"/>
    <col min="17" max="17" width="31.5703125" style="115" customWidth="1"/>
    <col min="18" max="18" width="17" style="115" customWidth="1"/>
    <col min="19" max="19" width="23.140625" style="118" customWidth="1"/>
    <col min="20" max="20" width="57.140625" style="115" customWidth="1"/>
    <col min="21" max="21" width="30.42578125" style="115" customWidth="1"/>
    <col min="22" max="22" width="34.140625" style="115" customWidth="1"/>
    <col min="23" max="23" width="29.85546875" style="441" customWidth="1"/>
    <col min="24" max="24" width="30.42578125" style="115" customWidth="1"/>
    <col min="25" max="25" width="36" style="115" hidden="1" customWidth="1"/>
    <col min="26" max="26" width="0" style="115" hidden="1" customWidth="1"/>
    <col min="27" max="73" width="11.42578125" style="115" hidden="1" customWidth="1"/>
    <col min="74" max="74" width="11.42578125" style="115" customWidth="1"/>
    <col min="75" max="16384" width="11.42578125" style="115"/>
  </cols>
  <sheetData>
    <row r="1" spans="1:73" ht="21" customHeight="1" x14ac:dyDescent="0.25">
      <c r="A1" s="573"/>
      <c r="B1" s="573"/>
      <c r="C1" s="573"/>
      <c r="D1" s="573"/>
      <c r="E1" s="72"/>
      <c r="F1" s="574" t="s">
        <v>0</v>
      </c>
      <c r="G1" s="575"/>
      <c r="H1" s="575"/>
      <c r="I1" s="575"/>
      <c r="J1" s="575"/>
      <c r="K1" s="575"/>
      <c r="L1" s="575"/>
      <c r="M1" s="575"/>
      <c r="N1" s="575"/>
      <c r="O1" s="575"/>
      <c r="P1" s="575"/>
      <c r="Q1" s="575"/>
      <c r="R1" s="575"/>
      <c r="S1" s="575"/>
      <c r="T1" s="576"/>
      <c r="U1" s="583" t="s">
        <v>223</v>
      </c>
      <c r="V1" s="584"/>
      <c r="W1" s="450"/>
      <c r="X1" s="1"/>
      <c r="Y1" s="1"/>
    </row>
    <row r="2" spans="1:73" ht="22.5" customHeight="1" x14ac:dyDescent="0.25">
      <c r="A2" s="573"/>
      <c r="B2" s="573"/>
      <c r="C2" s="573"/>
      <c r="D2" s="573"/>
      <c r="E2" s="73"/>
      <c r="F2" s="577"/>
      <c r="G2" s="578"/>
      <c r="H2" s="578"/>
      <c r="I2" s="578"/>
      <c r="J2" s="578"/>
      <c r="K2" s="578"/>
      <c r="L2" s="578"/>
      <c r="M2" s="578"/>
      <c r="N2" s="578"/>
      <c r="O2" s="578"/>
      <c r="P2" s="578"/>
      <c r="Q2" s="578"/>
      <c r="R2" s="578"/>
      <c r="S2" s="578"/>
      <c r="T2" s="579"/>
      <c r="U2" s="583" t="s">
        <v>149</v>
      </c>
      <c r="V2" s="584"/>
      <c r="W2" s="450"/>
      <c r="X2" s="1"/>
      <c r="Y2" s="1"/>
    </row>
    <row r="3" spans="1:73" ht="21" customHeight="1" x14ac:dyDescent="0.25">
      <c r="A3" s="573"/>
      <c r="B3" s="573"/>
      <c r="C3" s="573"/>
      <c r="D3" s="573"/>
      <c r="E3" s="73"/>
      <c r="F3" s="577"/>
      <c r="G3" s="578"/>
      <c r="H3" s="578"/>
      <c r="I3" s="578"/>
      <c r="J3" s="578"/>
      <c r="K3" s="578"/>
      <c r="L3" s="578"/>
      <c r="M3" s="578"/>
      <c r="N3" s="578"/>
      <c r="O3" s="578"/>
      <c r="P3" s="578"/>
      <c r="Q3" s="578"/>
      <c r="R3" s="578"/>
      <c r="S3" s="578"/>
      <c r="T3" s="579"/>
      <c r="U3" s="583" t="s">
        <v>156</v>
      </c>
      <c r="V3" s="584"/>
      <c r="W3" s="450"/>
      <c r="X3" s="1"/>
      <c r="Y3" s="1"/>
    </row>
    <row r="4" spans="1:73" ht="20.25" customHeight="1" x14ac:dyDescent="0.25">
      <c r="A4" s="573"/>
      <c r="B4" s="573"/>
      <c r="C4" s="573"/>
      <c r="D4" s="573"/>
      <c r="E4" s="74"/>
      <c r="F4" s="580"/>
      <c r="G4" s="581"/>
      <c r="H4" s="581"/>
      <c r="I4" s="581"/>
      <c r="J4" s="581"/>
      <c r="K4" s="581"/>
      <c r="L4" s="581"/>
      <c r="M4" s="581"/>
      <c r="N4" s="581"/>
      <c r="O4" s="581"/>
      <c r="P4" s="581"/>
      <c r="Q4" s="581"/>
      <c r="R4" s="581"/>
      <c r="S4" s="581"/>
      <c r="T4" s="582"/>
      <c r="U4" s="583" t="s">
        <v>1</v>
      </c>
      <c r="V4" s="584"/>
      <c r="W4" s="450"/>
      <c r="X4" s="1"/>
      <c r="Y4" s="1"/>
    </row>
    <row r="5" spans="1:73" ht="8.25" customHeight="1" x14ac:dyDescent="0.25">
      <c r="B5" s="116"/>
      <c r="C5" s="116"/>
      <c r="D5" s="116"/>
      <c r="E5" s="116"/>
      <c r="F5" s="117"/>
      <c r="G5" s="117"/>
      <c r="H5" s="117"/>
      <c r="I5" s="117"/>
      <c r="J5" s="117"/>
      <c r="K5" s="117"/>
      <c r="L5" s="117"/>
      <c r="M5" s="117"/>
      <c r="N5" s="117"/>
      <c r="O5" s="117"/>
      <c r="P5" s="117"/>
      <c r="Q5" s="117"/>
      <c r="X5" s="6"/>
      <c r="Y5" s="6"/>
    </row>
    <row r="6" spans="1:73" ht="15.75" x14ac:dyDescent="0.25">
      <c r="A6" s="553" t="s">
        <v>2</v>
      </c>
      <c r="B6" s="553"/>
      <c r="C6" s="553"/>
      <c r="D6" s="553"/>
      <c r="E6" s="75"/>
      <c r="F6" s="590" t="s">
        <v>281</v>
      </c>
      <c r="G6" s="591"/>
      <c r="H6" s="591"/>
      <c r="I6" s="591"/>
      <c r="J6" s="591"/>
      <c r="K6" s="591"/>
      <c r="L6" s="591"/>
      <c r="M6" s="591"/>
      <c r="N6" s="591"/>
      <c r="O6" s="591"/>
      <c r="P6" s="591"/>
      <c r="Q6" s="591"/>
      <c r="R6" s="591"/>
      <c r="S6" s="591"/>
      <c r="T6" s="591"/>
      <c r="U6" s="591"/>
      <c r="V6" s="592"/>
      <c r="W6" s="494"/>
      <c r="X6" s="6"/>
      <c r="Y6" s="6"/>
    </row>
    <row r="7" spans="1:73" ht="6.75" customHeight="1" x14ac:dyDescent="0.25">
      <c r="B7" s="116"/>
      <c r="C7" s="116"/>
      <c r="D7" s="116"/>
      <c r="E7" s="116"/>
      <c r="F7" s="121"/>
      <c r="G7" s="121"/>
      <c r="H7" s="121"/>
      <c r="I7" s="121"/>
      <c r="J7" s="121"/>
      <c r="K7" s="121"/>
      <c r="L7" s="121"/>
      <c r="M7" s="121"/>
      <c r="N7" s="121"/>
      <c r="O7" s="121"/>
      <c r="P7" s="121"/>
      <c r="Q7" s="121"/>
      <c r="R7" s="8"/>
      <c r="S7" s="8"/>
      <c r="T7" s="8"/>
      <c r="U7" s="8"/>
      <c r="V7" s="8"/>
      <c r="W7" s="444"/>
      <c r="X7" s="6"/>
      <c r="Y7" s="6"/>
    </row>
    <row r="8" spans="1:73" ht="39.75" customHeight="1" x14ac:dyDescent="0.25">
      <c r="A8" s="553" t="s">
        <v>3</v>
      </c>
      <c r="B8" s="553"/>
      <c r="C8" s="553"/>
      <c r="D8" s="553"/>
      <c r="E8" s="75"/>
      <c r="F8" s="570" t="str">
        <f>[6]IdentRiesgo!B3</f>
        <v>Satisfacer las necesidades y expectativas de los usuarios y dar respuesta pertinente, confiable y oportuna de los servicios relacionados con las actividades misionales del Instituto.</v>
      </c>
      <c r="G8" s="571"/>
      <c r="H8" s="571"/>
      <c r="I8" s="571"/>
      <c r="J8" s="571"/>
      <c r="K8" s="571"/>
      <c r="L8" s="571"/>
      <c r="M8" s="571"/>
      <c r="N8" s="571"/>
      <c r="O8" s="571"/>
      <c r="P8" s="571"/>
      <c r="Q8" s="571"/>
      <c r="R8" s="571"/>
      <c r="S8" s="571"/>
      <c r="T8" s="571"/>
      <c r="U8" s="571"/>
      <c r="V8" s="572"/>
      <c r="W8" s="451"/>
      <c r="X8" s="9"/>
      <c r="Y8" s="9"/>
    </row>
    <row r="9" spans="1:73" ht="6.75" customHeight="1" x14ac:dyDescent="0.25">
      <c r="B9" s="119"/>
      <c r="C9" s="119"/>
      <c r="D9" s="119"/>
      <c r="E9" s="119"/>
      <c r="F9" s="122"/>
      <c r="G9" s="122"/>
      <c r="H9" s="122"/>
      <c r="I9" s="122"/>
      <c r="J9" s="122"/>
      <c r="K9" s="122"/>
      <c r="L9" s="122"/>
      <c r="M9" s="122"/>
      <c r="N9" s="122"/>
      <c r="O9" s="122"/>
      <c r="P9" s="122"/>
      <c r="Q9" s="122"/>
      <c r="R9" s="8"/>
      <c r="S9" s="8"/>
      <c r="T9" s="8"/>
      <c r="U9" s="8"/>
      <c r="V9" s="8"/>
      <c r="W9" s="444"/>
      <c r="X9" s="6"/>
      <c r="Y9" s="6"/>
    </row>
    <row r="10" spans="1:73" ht="15.75" x14ac:dyDescent="0.25">
      <c r="A10" s="553" t="s">
        <v>4</v>
      </c>
      <c r="B10" s="553"/>
      <c r="C10" s="553"/>
      <c r="D10" s="553"/>
      <c r="E10" s="75"/>
      <c r="F10" s="593" t="s">
        <v>164</v>
      </c>
      <c r="G10" s="594"/>
      <c r="H10" s="594"/>
      <c r="I10" s="594"/>
      <c r="J10" s="594"/>
      <c r="K10" s="594"/>
      <c r="L10" s="594"/>
      <c r="M10" s="594"/>
      <c r="N10" s="594"/>
      <c r="O10" s="594"/>
      <c r="P10" s="594"/>
      <c r="Q10" s="594"/>
      <c r="R10" s="594"/>
      <c r="S10" s="594"/>
      <c r="T10" s="594"/>
      <c r="U10" s="594"/>
      <c r="V10" s="595"/>
      <c r="W10" s="490"/>
      <c r="X10" s="12"/>
      <c r="Y10" s="12"/>
    </row>
    <row r="11" spans="1:73" ht="5.25" customHeight="1" x14ac:dyDescent="0.25">
      <c r="B11" s="116"/>
      <c r="C11" s="116"/>
      <c r="D11" s="116"/>
      <c r="E11" s="116"/>
      <c r="F11" s="141"/>
      <c r="G11" s="141"/>
      <c r="H11" s="141"/>
      <c r="I11" s="141"/>
      <c r="J11" s="141"/>
      <c r="K11" s="141"/>
      <c r="L11" s="141"/>
      <c r="M11" s="141"/>
      <c r="N11" s="141"/>
      <c r="O11" s="141"/>
      <c r="P11" s="141"/>
      <c r="Q11" s="141"/>
      <c r="R11" s="8"/>
      <c r="S11" s="8"/>
      <c r="T11" s="8"/>
      <c r="U11" s="8"/>
      <c r="V11" s="8"/>
      <c r="W11" s="444"/>
      <c r="X11" s="6"/>
      <c r="Y11" s="6"/>
    </row>
    <row r="12" spans="1:73" ht="15.75" x14ac:dyDescent="0.25">
      <c r="A12" s="553" t="s">
        <v>5</v>
      </c>
      <c r="B12" s="553"/>
      <c r="C12" s="553"/>
      <c r="D12" s="553"/>
      <c r="E12" s="75"/>
      <c r="F12" s="585">
        <v>43496</v>
      </c>
      <c r="G12" s="586"/>
      <c r="H12" s="586"/>
      <c r="I12" s="586"/>
      <c r="J12" s="586"/>
      <c r="K12" s="586"/>
      <c r="L12" s="586"/>
      <c r="M12" s="586"/>
      <c r="N12" s="586"/>
      <c r="O12" s="586"/>
      <c r="P12" s="586"/>
      <c r="Q12" s="586"/>
      <c r="R12" s="586"/>
      <c r="S12" s="586"/>
      <c r="T12" s="586"/>
      <c r="U12" s="586"/>
      <c r="V12" s="587"/>
      <c r="W12" s="457"/>
      <c r="X12" s="12"/>
      <c r="Y12" s="12"/>
      <c r="AB12" s="115" t="s">
        <v>6</v>
      </c>
    </row>
    <row r="13" spans="1:73" ht="15.75" thickBot="1" x14ac:dyDescent="0.3">
      <c r="B13" s="116"/>
      <c r="C13" s="116"/>
      <c r="D13" s="116"/>
      <c r="E13" s="116"/>
      <c r="F13" s="123"/>
      <c r="G13" s="123"/>
      <c r="H13" s="120"/>
      <c r="I13" s="120"/>
      <c r="J13" s="120"/>
      <c r="K13" s="121"/>
      <c r="L13" s="120"/>
      <c r="M13" s="121"/>
      <c r="N13" s="121"/>
      <c r="O13" s="121"/>
      <c r="P13" s="121"/>
      <c r="Q13" s="121"/>
      <c r="R13" s="121"/>
      <c r="S13" s="120"/>
      <c r="T13" s="121"/>
      <c r="X13" s="6"/>
      <c r="Y13" s="6"/>
      <c r="AB13" s="115" t="s">
        <v>7</v>
      </c>
      <c r="AH13" s="557" t="s">
        <v>8</v>
      </c>
      <c r="AI13" s="557"/>
      <c r="AJ13" s="557"/>
      <c r="AK13" s="557"/>
      <c r="AL13" s="557"/>
      <c r="AM13" s="557"/>
      <c r="AN13" s="557"/>
      <c r="AO13" s="557"/>
      <c r="AP13" s="557"/>
      <c r="AQ13" s="557"/>
      <c r="AR13" s="557"/>
      <c r="AS13" s="557"/>
      <c r="AT13" s="557"/>
      <c r="AU13" s="557"/>
      <c r="AV13" s="557"/>
      <c r="AW13" s="557"/>
      <c r="AX13" s="557"/>
      <c r="AY13" s="557"/>
      <c r="AZ13" s="557"/>
      <c r="BB13" s="557" t="s">
        <v>9</v>
      </c>
      <c r="BC13" s="557"/>
      <c r="BD13" s="557"/>
      <c r="BE13" s="557"/>
      <c r="BF13" s="557"/>
      <c r="BG13" s="557"/>
      <c r="BH13" s="557"/>
      <c r="BI13" s="557"/>
      <c r="BJ13" s="557"/>
      <c r="BK13" s="557"/>
      <c r="BL13" s="557"/>
      <c r="BM13" s="557"/>
      <c r="BN13" s="557"/>
      <c r="BO13" s="557"/>
      <c r="BP13" s="557"/>
      <c r="BQ13" s="557"/>
      <c r="BR13" s="557"/>
      <c r="BS13" s="557"/>
      <c r="BT13" s="557"/>
      <c r="BU13" s="557"/>
    </row>
    <row r="14" spans="1:73" s="17" customFormat="1" ht="15" customHeight="1" x14ac:dyDescent="0.25">
      <c r="A14" s="558" t="s">
        <v>10</v>
      </c>
      <c r="B14" s="559"/>
      <c r="C14" s="559"/>
      <c r="D14" s="559"/>
      <c r="E14" s="76"/>
      <c r="F14" s="561" t="s">
        <v>11</v>
      </c>
      <c r="G14" s="561"/>
      <c r="H14" s="561"/>
      <c r="I14" s="136"/>
      <c r="J14" s="136"/>
      <c r="K14" s="562" t="s">
        <v>12</v>
      </c>
      <c r="L14" s="558" t="s">
        <v>13</v>
      </c>
      <c r="M14" s="559"/>
      <c r="N14" s="560"/>
      <c r="O14" s="217"/>
      <c r="P14" s="565" t="s">
        <v>14</v>
      </c>
      <c r="Q14" s="565"/>
      <c r="R14" s="565"/>
      <c r="S14" s="565" t="s">
        <v>15</v>
      </c>
      <c r="T14" s="565"/>
      <c r="U14" s="565"/>
      <c r="V14" s="565"/>
      <c r="W14" s="452"/>
    </row>
    <row r="15" spans="1:73" s="17" customFormat="1" ht="14.25" customHeight="1" x14ac:dyDescent="0.25">
      <c r="A15" s="563" t="s">
        <v>16</v>
      </c>
      <c r="B15" s="563" t="s">
        <v>17</v>
      </c>
      <c r="C15" s="218"/>
      <c r="D15" s="218"/>
      <c r="E15" s="218"/>
      <c r="F15" s="543" t="s">
        <v>19</v>
      </c>
      <c r="G15" s="543"/>
      <c r="H15" s="543"/>
      <c r="I15" s="220"/>
      <c r="J15" s="220"/>
      <c r="K15" s="563"/>
      <c r="L15" s="548" t="s">
        <v>20</v>
      </c>
      <c r="M15" s="549"/>
      <c r="N15" s="550"/>
      <c r="O15" s="221"/>
      <c r="P15" s="548" t="s">
        <v>21</v>
      </c>
      <c r="Q15" s="549"/>
      <c r="R15" s="550"/>
      <c r="S15" s="543" t="s">
        <v>22</v>
      </c>
      <c r="T15" s="543" t="s">
        <v>23</v>
      </c>
      <c r="U15" s="548" t="s">
        <v>4</v>
      </c>
      <c r="V15" s="543" t="s">
        <v>24</v>
      </c>
      <c r="W15" s="285"/>
    </row>
    <row r="16" spans="1:73" s="17" customFormat="1" ht="63" customHeight="1" x14ac:dyDescent="0.25">
      <c r="A16" s="566"/>
      <c r="B16" s="566"/>
      <c r="C16" s="219" t="s">
        <v>70</v>
      </c>
      <c r="D16" s="219" t="s">
        <v>18</v>
      </c>
      <c r="E16" s="219" t="s">
        <v>71</v>
      </c>
      <c r="F16" s="220" t="s">
        <v>25</v>
      </c>
      <c r="G16" s="220" t="s">
        <v>70</v>
      </c>
      <c r="H16" s="220" t="s">
        <v>9</v>
      </c>
      <c r="I16" s="220" t="s">
        <v>70</v>
      </c>
      <c r="J16" s="220" t="s">
        <v>26</v>
      </c>
      <c r="K16" s="564"/>
      <c r="L16" s="19" t="s">
        <v>25</v>
      </c>
      <c r="M16" s="19" t="s">
        <v>9</v>
      </c>
      <c r="N16" s="219" t="s">
        <v>26</v>
      </c>
      <c r="O16" s="219" t="s">
        <v>74</v>
      </c>
      <c r="P16" s="220" t="s">
        <v>27</v>
      </c>
      <c r="Q16" s="220" t="s">
        <v>23</v>
      </c>
      <c r="R16" s="220" t="s">
        <v>28</v>
      </c>
      <c r="S16" s="543"/>
      <c r="T16" s="543"/>
      <c r="U16" s="598"/>
      <c r="V16" s="564"/>
      <c r="W16" s="285"/>
    </row>
    <row r="17" spans="1:71" ht="211.5" customHeight="1" x14ac:dyDescent="0.25">
      <c r="A17" s="345" t="s">
        <v>123</v>
      </c>
      <c r="B17" s="166" t="s">
        <v>124</v>
      </c>
      <c r="C17" s="345" t="s">
        <v>125</v>
      </c>
      <c r="D17" s="345" t="s">
        <v>126</v>
      </c>
      <c r="E17" s="340" t="s">
        <v>81</v>
      </c>
      <c r="F17" s="341">
        <v>4</v>
      </c>
      <c r="G17" s="341" t="s">
        <v>79</v>
      </c>
      <c r="H17" s="342">
        <v>5</v>
      </c>
      <c r="I17" s="342" t="s">
        <v>240</v>
      </c>
      <c r="J17" s="343" t="s">
        <v>40</v>
      </c>
      <c r="K17" s="336" t="s">
        <v>283</v>
      </c>
      <c r="L17" s="596" t="s">
        <v>9</v>
      </c>
      <c r="M17" s="597"/>
      <c r="N17" s="343" t="s">
        <v>40</v>
      </c>
      <c r="O17" s="337" t="s">
        <v>78</v>
      </c>
      <c r="P17" s="394" t="s">
        <v>301</v>
      </c>
      <c r="Q17" s="350" t="s">
        <v>241</v>
      </c>
      <c r="R17" s="503" t="s">
        <v>264</v>
      </c>
      <c r="S17" s="426"/>
      <c r="T17" s="530"/>
      <c r="U17" s="460" t="s">
        <v>204</v>
      </c>
      <c r="V17" s="448" t="s">
        <v>205</v>
      </c>
      <c r="W17" s="530"/>
      <c r="Y17" s="125" t="str">
        <f>IF(AND(F17=1,H17=5),$H$25,IF(AND(F17=1,H17=10),$J$25,IF(AND(F17=1,H17=20),$K$25," ")))</f>
        <v xml:space="preserve"> </v>
      </c>
      <c r="Z17" s="125" t="str">
        <f>IF(AND(F17=2,H17=5),$H$26,IF(AND(F17=2,H17=10),$J$26,IF(AND(F17=2,H17=20),$K$26," ")))</f>
        <v xml:space="preserve"> </v>
      </c>
      <c r="AA17" s="125" t="str">
        <f>IF(AND(F17=3,H17=5),$H$27,IF(AND(F17=3,H17=10),$J$27,IF(AND(F17=3,H17=20),$K$27," ")))</f>
        <v xml:space="preserve"> </v>
      </c>
      <c r="AB17" s="125" t="str">
        <f>IF(AND(F17=4,H17=5),$H$28,IF(AND(F17=4,H17=10),$J$28,IF(AND(F17=4,H17=20),$K$28," ")))</f>
        <v>M</v>
      </c>
      <c r="AC17" s="125" t="str">
        <f>IF(AND(F17=5,H17=5),$H$29,IF(AND(F17=5,H17=10),$J$29,IF(AND(F17=5,H17=20),$K$29," ")))</f>
        <v xml:space="preserve"> </v>
      </c>
      <c r="AE17" s="27" t="s">
        <v>30</v>
      </c>
      <c r="AF17" s="125" t="str">
        <f>IF(AND(L17&gt;0,[6]EvaluaciónRiesgoCorrup!$F$11&gt;75,F17=1,H17=5),$H$25,IF(AND(L17&gt;0,[6]EvaluaciónRiesgoCorrup!$F$11&gt;75,F17=1,H17=10),$J$25,IF(AND(L17&gt;0,[6]EvaluaciónRiesgoCorrup!$F$11&gt;75,F17=1,H17=20),$K$25," ")))</f>
        <v xml:space="preserve"> </v>
      </c>
      <c r="AG17" s="125" t="str">
        <f>IF(AND(L17&gt;0,[6]EvaluaciónRiesgoCorrup!$F$11&gt;75,F17=2,H17=5),$H$25,IF(AND(L17&gt;0,[6]EvaluaciónRiesgoCorrup!$F$11&gt;75,F17=2,H17=10),$J$25,IF(AND(L17&gt;0,[6]EvaluaciónRiesgoCorrup!$F$11&gt;75,F17=2,H17=20),$K$25," ")))</f>
        <v xml:space="preserve"> </v>
      </c>
      <c r="AH17" s="125" t="str">
        <f>IF(AND(L17&gt;0,[6]EvaluaciónRiesgoCorrup!$F$11&gt;75,F17=3,H17=5),$H$25,IF(AND(L17&gt;0,[6]EvaluaciónRiesgoCorrup!$F$11&gt;75,F17=3,H17=10),$J$25,IF(AND(L17&gt;0,[6]EvaluaciónRiesgoCorrup!$F$11&gt;75,F17=3,H17=20),$K$25," ")))</f>
        <v xml:space="preserve"> </v>
      </c>
      <c r="AI17" s="125" t="str">
        <f>IF(AND(L17&gt;0,[6]EvaluaciónRiesgoCorrup!$F$11&gt;75,F17=4,H17=5),$H$26,IF(AND(L17&gt;0,[6]EvaluaciónRiesgoCorrup!$F$11&gt;75,F17=4,H17=10),$J$26,IF(AND(L17&gt;0,[6]EvaluaciónRiesgoCorrup!$F$11&gt;75,F17=4,H17=20),$K$26," ")))</f>
        <v>B</v>
      </c>
      <c r="AJ17" s="125" t="str">
        <f>IF(AND(L17&gt;0,[6]EvaluaciónRiesgoCorrup!$F$11&gt;75,F17=5,H17=5),$H$27,IF(AND(L17&gt;0,[6]EvaluaciónRiesgoCorrup!$F$11&gt;75,F17=5,H17=10),$J$27,IF(AND(L17&gt;0,[6]EvaluaciónRiesgoCorrup!$F$11&gt;75,F17=5,H17=20),$K$27," ")))</f>
        <v xml:space="preserve"> </v>
      </c>
      <c r="AK17" s="27" t="s">
        <v>31</v>
      </c>
      <c r="AL17" s="125" t="str">
        <f>IF(AND(L17&gt;0,[6]EvaluaciónRiesgoCorrup!$F$11&gt;50,[6]EvaluaciónRiesgoCorrup!$F$11&lt;76,F17=1,H17=5),$H$25,IF(AND(L17&gt;0,[6]EvaluaciónRiesgoCorrup!$F$11&gt;50,[6]EvaluaciónRiesgoCorrup!$F$11&lt;76,F17=1,H17=10),$J$25,IF(AND(L17&gt;0,[6]EvaluaciónRiesgoCorrup!$F$11&gt;50,[6]EvaluaciónRiesgoCorrup!$F$11&lt;76,F17=1,H17=20),$K$25," ")))</f>
        <v xml:space="preserve"> </v>
      </c>
      <c r="AM17" s="125" t="str">
        <f>IF(AND(L17&gt;0,[6]EvaluaciónRiesgoCorrup!$F$11&gt;50,[6]EvaluaciónRiesgoCorrup!$F$11&lt;76,F17=2,H17=5),$H$25,IF(AND(L17&gt;0,[6]EvaluaciónRiesgoCorrup!$F$11&gt;50,[6]EvaluaciónRiesgoCorrup!$F$11&lt;76,F17=2,H17=10),$J$25,IF(AND(L17&gt;0,[6]EvaluaciónRiesgoCorrup!$F$11&gt;50,[6]EvaluaciónRiesgoCorrup!$F$11&lt;76,F17=2,H17=20),$K$25," ")))</f>
        <v xml:space="preserve"> </v>
      </c>
      <c r="AN17" s="125" t="str">
        <f>IF(AND(L17&gt;0,[6]EvaluaciónRiesgoCorrup!$F$11&gt;50,[6]EvaluaciónRiesgoCorrup!$F$11&lt;76,F17=3,H17=5),$H$26,IF(AND(L17&gt;0,[6]EvaluaciónRiesgoCorrup!$F$11&gt;50,[6]EvaluaciónRiesgoCorrup!$F$11&lt;76,F17=3,H17=10),$J$26,IF(AND(L17&gt;0,[6]EvaluaciónRiesgoCorrup!$F$11&gt;50,[6]EvaluaciónRiesgoCorrup!$F$11&lt;76,F17=3,H17=20),$K$26," ")))</f>
        <v xml:space="preserve"> </v>
      </c>
      <c r="AO17" s="125" t="str">
        <f>IF(AND(L17&gt;0,[6]EvaluaciónRiesgoCorrup!$F$11&gt;50,[6]EvaluaciónRiesgoCorrup!$F$11&lt;76,F17=4,H17=5),$H$27,IF(AND(L17&gt;0,[6]EvaluaciónRiesgoCorrup!$F$11&gt;50,[6]EvaluaciónRiesgoCorrup!$F$11&lt;76,F17=4,H17=10),$J$27,IF(AND(L17&gt;0,[6]EvaluaciónRiesgoCorrup!$F$11&gt;50,[6]EvaluaciónRiesgoCorrup!$F$11&lt;76,F17=4,H17=20),$K$27," ")))</f>
        <v xml:space="preserve"> </v>
      </c>
      <c r="AP17" s="125" t="str">
        <f>IF(AND(L17&gt;0,[6]EvaluaciónRiesgoCorrup!$F$11&gt;50,[6]EvaluaciónRiesgoCorrup!$F$11&lt;76,F17=5,H17=5),$H$28,IF(AND(L17&gt;0,[6]EvaluaciónRiesgoCorrup!$F$11&gt;50,[6]EvaluaciónRiesgoCorrup!$F$11&lt;76,F17=5,H17=10),$J$28,IF(AND(L17&gt;0,[6]EvaluaciónRiesgoCorrup!$F$11&gt;50,[6]EvaluaciónRiesgoCorrup!$F$11&lt;76,F17=5,H17=20),$K$28," ")))</f>
        <v xml:space="preserve"> </v>
      </c>
      <c r="AR17" s="27" t="s">
        <v>32</v>
      </c>
      <c r="AS17" s="125" t="str">
        <f>IF(AND(L17&gt;0,[6]EvaluaciónRiesgoCorrup!$F$11&lt;51,F17=1,H17=5),$H$25,IF(AND(L17&gt;0,[6]EvaluaciónRiesgoCorrup!$F$11&lt;51,F17=1,H17=10),$J$25,IF(AND(L17&gt;0,[6]EvaluaciónRiesgoCorrup!$F$11&lt;51,F17=1,H17=20),K$25," ")))</f>
        <v xml:space="preserve"> </v>
      </c>
      <c r="AT17" s="125" t="str">
        <f>IF(AND(L17&gt;0,[6]EvaluaciónRiesgoCorrup!$F$11&lt;51,F17=2,H17=5),$H$26,IF(AND(L17&gt;0,[6]EvaluaciónRiesgoCorrup!$F$11&lt;51,F17=2,H17=10),$J$26,IF(AND(L17&gt;0,[6]EvaluaciónRiesgoCorrup!$F$11&lt;51,F17=2,H17=20),K$26," ")))</f>
        <v xml:space="preserve"> </v>
      </c>
      <c r="AU17" s="125" t="str">
        <f>IF(AND(L17&gt;0,[6]EvaluaciónRiesgoCorrup!$F$11&lt;51,F17=3,H17=5),$H$27,IF(AND(L17&gt;0,[6]EvaluaciónRiesgoCorrup!$F$11&lt;51,F17=3,H17=10),$J$27,IF(AND(L17&gt;0,[6]EvaluaciónRiesgoCorrup!$F$11&lt;51,F17=3,H17=20),K$27," ")))</f>
        <v xml:space="preserve"> </v>
      </c>
      <c r="AV17" s="125" t="str">
        <f>IF(AND(L17&gt;0,[6]EvaluaciónRiesgoCorrup!$F$11&lt;51,F17=4,H17=5),$H$28,IF(AND(L17&gt;0,[6]EvaluaciónRiesgoCorrup!$F$11&lt;51,F17=4,H17=10),$J$28,IF(AND(L17&gt;0,[6]EvaluaciónRiesgoCorrup!$F$11&lt;51,F17=4,H17=20),K$28," ")))</f>
        <v xml:space="preserve"> </v>
      </c>
      <c r="AW17" s="125" t="str">
        <f>IF(AND(L17&gt;0,[6]EvaluaciónRiesgoCorrup!$F$11&lt;51,F17=5,H17=5),$H$29,IF(AND(L17&gt;0,[6]EvaluaciónRiesgoCorrup!$F$11&lt;51,F17=5,H17=10),$J$29,IF(AND(L17&gt;0,[6]EvaluaciónRiesgoCorrup!$F$11&lt;51,F17=5,H17=20),K$29," ")))</f>
        <v xml:space="preserve"> </v>
      </c>
      <c r="AZ17" s="27" t="s">
        <v>30</v>
      </c>
      <c r="BA17" s="125" t="str">
        <f>IF(AND(M17&gt;0,[6]EvaluaciónRiesgoCorrup!$F$11&gt;75,F17=1,H17=5),$H$25,IF(AND(M17&gt;0,[6]EvaluaciónRiesgoCorrup!$F$11&gt;75,F17=1,H17=10),$H$25,IF(AND(M17&gt;0,[6]EvaluaciónRiesgoCorrup!$F$11&gt;75,F17=1,H17=20),$H$25," ")))</f>
        <v xml:space="preserve"> </v>
      </c>
      <c r="BB17" s="125" t="str">
        <f>IF(AND(M17&gt;0,[6]EvaluaciónRiesgoCorrup!$F$11&gt;75,F17=2,H17=5),$H$26,IF(AND(M17&gt;0,[6]EvaluaciónRiesgoCorrup!$F$11&gt;75,F17=2,H17=10),$H$26,IF(AND(M17&gt;0,[6]EvaluaciónRiesgoCorrup!$F$11&gt;75,F17=2,H17=20),$H$26," ")))</f>
        <v xml:space="preserve"> </v>
      </c>
      <c r="BC17" s="125" t="str">
        <f>IF(AND(M17&gt;0,[6]EvaluaciónRiesgoCorrup!$F$11&gt;75,F17=3,H17=5),$H$27,IF(AND(M17&gt;0,[6]EvaluaciónRiesgoCorrup!$F$11&gt;75,F17=3,H17=10),$H$27,IF(AND(M17&gt;0,[6]EvaluaciónRiesgoCorrup!$F$11&gt;75,F17=3,H17=20),$H$27," ")))</f>
        <v xml:space="preserve"> </v>
      </c>
      <c r="BD17" s="125" t="str">
        <f>IF(AND(M17&gt;0,[6]EvaluaciónRiesgoCorrup!$F$11&gt;75,F17=4,H17=5),$H$28,IF(AND(M17&gt;0,[6]EvaluaciónRiesgoCorrup!$F$11&gt;75,F17=4,H17=10),$H$28,IF(AND(M17&gt;0,[6]EvaluaciónRiesgoCorrup!$F$11&gt;75,F17=4,H17=20),$H$28," ")))</f>
        <v xml:space="preserve"> </v>
      </c>
      <c r="BE17" s="125" t="str">
        <f>IF(AND(M17&gt;0,[6]EvaluaciónRiesgoCorrup!$F$11&gt;75,F17=5,H17=5),$H$29,IF(AND(M17&gt;0,[6]EvaluaciónRiesgoCorrup!$F$11&gt;75,F17=5,H17=10),$H$29,IF(AND(M17&gt;0,[6]EvaluaciónRiesgoCorrup!$F$11&gt;75,F17=5,H17=20),$H$29," ")))</f>
        <v xml:space="preserve"> </v>
      </c>
      <c r="BG17" s="27" t="s">
        <v>31</v>
      </c>
      <c r="BH17" s="125" t="str">
        <f>IF(AND(M17&gt;0,[6]EvaluaciónRiesgoCorrup!$F$11&gt;50,[6]EvaluaciónRiesgoCorrup!$F$11&lt;76,F17=1,H17=5),$H$25,IF(AND(M17&gt;0,[6]EvaluaciónRiesgoCorrup!$F$11&gt;50,[6]EvaluaciónRiesgoCorrup!$F$11&lt;76,F17=1,H17=10),$H$25,IF(AND(M17&gt;0,[6]EvaluaciónRiesgoCorrup!$F$11&gt;50,[6]EvaluaciónRiesgoCorrup!$F$11&lt;76,F17=1,H17=20),$J$25," ")))</f>
        <v xml:space="preserve"> </v>
      </c>
      <c r="BI17" s="125" t="str">
        <f>IF(AND(M17&gt;0,[6]EvaluaciónRiesgoCorrup!$F$11&gt;50,[6]EvaluaciónRiesgoCorrup!$F$11&lt;76,F17=2,H17=5),$H$26,IF(AND(M17&gt;0,[6]EvaluaciónRiesgoCorrup!$F$11&gt;50,[6]EvaluaciónRiesgoCorrup!$F$11&lt;76,F17=2,H17=10),$H$26,IF(AND(M17&gt;0,[6]EvaluaciónRiesgoCorrup!$F$11&gt;50,[6]EvaluaciónRiesgoCorrup!$F$11&lt;76,F17=2,H17=20),$J$26," ")))</f>
        <v xml:space="preserve"> </v>
      </c>
      <c r="BJ17" s="125" t="str">
        <f>IF(AND(M17&gt;0,[6]EvaluaciónRiesgoCorrup!$F$11&gt;50,[6]EvaluaciónRiesgoCorrup!$F$11&lt;76,F17=3,H17=5),$H$27,IF(AND(M17&gt;0,[6]EvaluaciónRiesgoCorrup!$F$11&gt;50,[6]EvaluaciónRiesgoCorrup!$F$11&lt;76,F17=3,H17=10),$H$27,IF(AND(M17&gt;0,[6]EvaluaciónRiesgoCorrup!$F$11&gt;50,[6]EvaluaciónRiesgoCorrup!$F$11&lt;76,F17=3,H17=20),$J$27," ")))</f>
        <v xml:space="preserve"> </v>
      </c>
      <c r="BK17" s="125" t="str">
        <f>IF(AND(M17&gt;0,[6]EvaluaciónRiesgoCorrup!$F$11&gt;50,[6]EvaluaciónRiesgoCorrup!$F$11&lt;76,F17=4,H17=5),$H$28,IF(AND(M17&gt;0,[6]EvaluaciónRiesgoCorrup!$F$11&gt;50,[6]EvaluaciónRiesgoCorrup!$F$11&lt;76,F17=4,H17=10),$H$28,IF(AND(M17&gt;0,[6]EvaluaciónRiesgoCorrup!$F$11&gt;50,[6]EvaluaciónRiesgoCorrup!$F$11&lt;76,F17=4,H17=20),$J$28," ")))</f>
        <v xml:space="preserve"> </v>
      </c>
      <c r="BL17" s="125" t="str">
        <f>IF(AND(M17&gt;0,[6]EvaluaciónRiesgoCorrup!$F$11&gt;50,[6]EvaluaciónRiesgoCorrup!$F$11&lt;76,F17=5,H17=5),$H$29,IF(AND(M17&gt;0,[6]EvaluaciónRiesgoCorrup!$F$11&gt;50,[6]EvaluaciónRiesgoCorrup!$F$11&lt;76,F17=5,H17=10),$H$29,IF(AND(M17&gt;0,[6]EvaluaciónRiesgoCorrup!$F$11&gt;50,[6]EvaluaciónRiesgoCorrup!$F$11&lt;76,F17=5,H17=20),$J$29," ")))</f>
        <v xml:space="preserve"> </v>
      </c>
      <c r="BN17" s="27" t="s">
        <v>32</v>
      </c>
      <c r="BO17" s="125" t="str">
        <f>IF(AND(M17&gt;0,[6]EvaluaciónRiesgoCorrup!$F$11&lt;51,F17=1,H17=5),$H$25,IF(AND(M17&gt;0,[6]EvaluaciónRiesgoCorrup!$F$11&lt;51,F17=1,H17=10),$J$25,IF(AND(M17&gt;0,[6]EvaluaciónRiesgoCorrup!$F$11&lt;51,F17=1,H17=20),$K$25," ")))</f>
        <v xml:space="preserve"> </v>
      </c>
      <c r="BP17" s="125" t="str">
        <f>IF(AND(M17&gt;0,[6]EvaluaciónRiesgoCorrup!$F$11&lt;51,F17=2,H17=5),$H$26,IF(AND(M17&gt;0,[6]EvaluaciónRiesgoCorrup!$F$11&lt;51,F17=2,H17=10),$J$26,IF(AND(M17&gt;0,[6]EvaluaciónRiesgoCorrup!$F$11&lt;51,F17=2,H17=20),$K$26," ")))</f>
        <v xml:space="preserve"> </v>
      </c>
      <c r="BQ17" s="125" t="str">
        <f>IF(AND(M17&gt;0,[6]EvaluaciónRiesgoCorrup!$F$11&lt;51,F17=3,H17=5),$H$27,IF(AND(M17&gt;0,[6]EvaluaciónRiesgoCorrup!$F$11&lt;51,F17=3,H17=10),$J$27,IF(AND(M17&gt;0,[6]EvaluaciónRiesgoCorrup!$F$11&lt;51,F17=3,H17=20),$K$27," ")))</f>
        <v xml:space="preserve"> </v>
      </c>
      <c r="BR17" s="125" t="str">
        <f>IF(AND(M17&gt;0,[6]EvaluaciónRiesgoCorrup!$F$11&lt;51,F17=4,H17=5),$H$28,IF(AND(M17&gt;0,[6]EvaluaciónRiesgoCorrup!$F$11&lt;51,F17=4,H17=10),$J$28,IF(AND(M17&gt;0,[6]EvaluaciónRiesgoCorrup!$F$11&lt;51,F17=4,H17=20),$K$28," ")))</f>
        <v xml:space="preserve"> </v>
      </c>
      <c r="BS17" s="125" t="str">
        <f>IF(AND(M17&gt;0,[6]EvaluaciónRiesgoCorrup!$F$11&lt;51,F17=5,H17=5),$H$29,IF(AND(M17&gt;0,[6]EvaluaciónRiesgoCorrup!$F$11&lt;51,F17=5,H17=10),$J$29,IF(AND(M17&gt;0,[6]EvaluaciónRiesgoCorrup!$F$11&lt;51,F17=5,H17=20),$K$29," ")))</f>
        <v xml:space="preserve"> </v>
      </c>
    </row>
    <row r="18" spans="1:71" ht="396" customHeight="1" x14ac:dyDescent="0.25">
      <c r="A18" s="338" t="s">
        <v>127</v>
      </c>
      <c r="B18" s="154" t="s">
        <v>128</v>
      </c>
      <c r="C18" s="340" t="s">
        <v>129</v>
      </c>
      <c r="D18" s="340" t="s">
        <v>130</v>
      </c>
      <c r="E18" s="340" t="s">
        <v>81</v>
      </c>
      <c r="F18" s="341">
        <v>4</v>
      </c>
      <c r="G18" s="341" t="s">
        <v>79</v>
      </c>
      <c r="H18" s="342">
        <v>20</v>
      </c>
      <c r="I18" s="342" t="s">
        <v>84</v>
      </c>
      <c r="J18" s="343" t="s">
        <v>44</v>
      </c>
      <c r="K18" s="155" t="s">
        <v>131</v>
      </c>
      <c r="L18" s="596" t="s">
        <v>9</v>
      </c>
      <c r="M18" s="597"/>
      <c r="N18" s="343" t="s">
        <v>40</v>
      </c>
      <c r="O18" s="337" t="s">
        <v>78</v>
      </c>
      <c r="P18" s="394" t="s">
        <v>301</v>
      </c>
      <c r="Q18" s="474" t="s">
        <v>242</v>
      </c>
      <c r="R18" s="394" t="s">
        <v>184</v>
      </c>
      <c r="S18" s="426"/>
      <c r="T18" s="531"/>
      <c r="U18" s="394" t="s">
        <v>243</v>
      </c>
      <c r="V18" s="427" t="s">
        <v>244</v>
      </c>
      <c r="W18" s="531"/>
      <c r="Y18" s="125" t="str">
        <f>IF(AND(F18=1,H18=5),$H$25,IF(AND(F18=1,H18=10),$J$25,IF(AND(F18=1,H18=20),$K$25," ")))</f>
        <v xml:space="preserve"> </v>
      </c>
      <c r="Z18" s="125" t="str">
        <f>IF(AND(F18=2,H18=5),$H$26,IF(AND(F18=2,H18=10),$J$26,IF(AND(F18=2,H18=20),$K$26," ")))</f>
        <v xml:space="preserve"> </v>
      </c>
      <c r="AA18" s="125" t="str">
        <f>IF(AND(F18=3,H18=5),$H$27,IF(AND(F18=3,H18=10),$J$27,IF(AND(F18=3,H18=20),$K$27," ")))</f>
        <v xml:space="preserve"> </v>
      </c>
      <c r="AB18" s="125" t="str">
        <f>IF(AND(F18=4,H18=5),$H$28,IF(AND(F18=4,H18=10),$J$28,IF(AND(F18=4,H18=20),$K$28," ")))</f>
        <v>E</v>
      </c>
      <c r="AC18" s="125" t="str">
        <f>IF(AND(F18=5,H18=5),$H$29,IF(AND(F18=5,H18=10),$J$29,IF(AND(F18=5,H18=20),$K$29," ")))</f>
        <v xml:space="preserve"> </v>
      </c>
      <c r="AF18" s="125" t="str">
        <f>IF(AND(L18&gt;0,[6]EvaluaciónRiesgoCorrup!$F$11&gt;75,F18=1,H18=5),$H$25,IF(AND(L18&gt;0,[6]EvaluaciónRiesgoCorrup!$F$11&gt;75,F18=1,H18=10),$J$25,IF(AND(L18&gt;0,[6]EvaluaciónRiesgoCorrup!$F$11&gt;75,F18=1,H18=20),$K$25," ")))</f>
        <v xml:space="preserve"> </v>
      </c>
      <c r="AG18" s="125" t="str">
        <f>IF(AND(L18&gt;0,[6]EvaluaciónRiesgoCorrup!$F$11&gt;75,F18=2,H18=5),$H$25,IF(AND(L18&gt;0,[6]EvaluaciónRiesgoCorrup!$F$11&gt;75,F18=2,H18=10),$J$25,IF(AND(L18&gt;0,[6]EvaluaciónRiesgoCorrup!$F$11&gt;75,F18=2,H18=20),$K$25," ")))</f>
        <v xml:space="preserve"> </v>
      </c>
      <c r="AH18" s="125" t="str">
        <f>IF(AND(L18&gt;0,[6]EvaluaciónRiesgoCorrup!$F$11&gt;75,F18=3,H18=5),$H$25,IF(AND(L18&gt;0,[6]EvaluaciónRiesgoCorrup!$F$11&gt;75,F18=3,H18=10),$J$25,IF(AND(L18&gt;0,[6]EvaluaciónRiesgoCorrup!$F$11&gt;75,F18=3,H18=20),$K$25," ")))</f>
        <v xml:space="preserve"> </v>
      </c>
      <c r="AI18" s="125" t="str">
        <f>IF(AND(L18&gt;0,[6]EvaluaciónRiesgoCorrup!$F$11&gt;75,F18=4,H18=5),$H$26,IF(AND(L18&gt;0,[6]EvaluaciónRiesgoCorrup!$F$11&gt;75,F18=4,H18=10),$J$26,IF(AND(L18&gt;0,[6]EvaluaciónRiesgoCorrup!$F$11&gt;75,F18=4,H18=20),$K$26," ")))</f>
        <v>A</v>
      </c>
      <c r="AJ18" s="125" t="str">
        <f>IF(AND(L18&gt;0,[6]EvaluaciónRiesgoCorrup!$F$11&gt;75,F18=5,H18=5),$H$27,IF(AND(L18&gt;0,[6]EvaluaciónRiesgoCorrup!$F$11&gt;75,F18=5,H18=10),$J$27,IF(AND(L18&gt;0,[6]EvaluaciónRiesgoCorrup!$F$11&gt;75,F18=5,H18=20),$K$27," ")))</f>
        <v xml:space="preserve"> </v>
      </c>
      <c r="AL18" s="125" t="str">
        <f>IF(AND(L18&gt;0,[6]EvaluaciónRiesgoCorrup!$F$11&gt;50,[6]EvaluaciónRiesgoCorrup!$F$11&lt;76,F18=1,H18=5),$H$25,IF(AND(L18&gt;0,[6]EvaluaciónRiesgoCorrup!$F$11&gt;50,[6]EvaluaciónRiesgoCorrup!$F$11&lt;76,F18=1,H18=10),$J$25,IF(AND(L18&gt;0,[6]EvaluaciónRiesgoCorrup!$F$11&gt;50,[6]EvaluaciónRiesgoCorrup!$F$11&lt;76,F18=1,H18=20),$K$25," ")))</f>
        <v xml:space="preserve"> </v>
      </c>
      <c r="AM18" s="125" t="str">
        <f>IF(AND(L18&gt;0,[6]EvaluaciónRiesgoCorrup!$F$11&gt;50,[6]EvaluaciónRiesgoCorrup!$F$11&lt;76,F18=2,H18=5),$H$25,IF(AND(L18&gt;0,[6]EvaluaciónRiesgoCorrup!$F$11&gt;50,[6]EvaluaciónRiesgoCorrup!$F$11&lt;76,F18=2,H18=10),$J$25,IF(AND(L18&gt;0,[6]EvaluaciónRiesgoCorrup!$F$11&gt;50,[6]EvaluaciónRiesgoCorrup!$F$11&lt;76,F18=2,H18=20),$K$25," ")))</f>
        <v xml:space="preserve"> </v>
      </c>
      <c r="AN18" s="125" t="str">
        <f>IF(AND(L18&gt;0,[6]EvaluaciónRiesgoCorrup!$F$11&gt;50,[6]EvaluaciónRiesgoCorrup!$F$11&lt;76,F18=3,H18=5),$H$26,IF(AND(L18&gt;0,[6]EvaluaciónRiesgoCorrup!$F$11&gt;50,[6]EvaluaciónRiesgoCorrup!$F$11&lt;76,F18=3,H18=10),$J$26,IF(AND(L18&gt;0,[6]EvaluaciónRiesgoCorrup!$F$11&gt;50,[6]EvaluaciónRiesgoCorrup!$F$11&lt;76,F18=3,H18=20),$K$26," ")))</f>
        <v xml:space="preserve"> </v>
      </c>
      <c r="AO18" s="125" t="str">
        <f>IF(AND(L18&gt;0,[6]EvaluaciónRiesgoCorrup!$F$11&gt;50,[6]EvaluaciónRiesgoCorrup!$F$11&lt;76,F18=4,H18=5),$H$27,IF(AND(L18&gt;0,[6]EvaluaciónRiesgoCorrup!$F$11&gt;50,[6]EvaluaciónRiesgoCorrup!$F$11&lt;76,F18=4,H18=10),$J$27,IF(AND(L18&gt;0,[6]EvaluaciónRiesgoCorrup!$F$11&gt;50,[6]EvaluaciónRiesgoCorrup!$F$11&lt;76,F18=4,H18=20),$K$27," ")))</f>
        <v xml:space="preserve"> </v>
      </c>
      <c r="AP18" s="125" t="str">
        <f>IF(AND(L18&gt;0,[6]EvaluaciónRiesgoCorrup!$F$11&gt;50,[6]EvaluaciónRiesgoCorrup!$F$11&lt;76,F18=5,H18=5),$H$28,IF(AND(L18&gt;0,[6]EvaluaciónRiesgoCorrup!$F$11&gt;50,[6]EvaluaciónRiesgoCorrup!$F$11&lt;76,F18=5,H18=10),$J$28,IF(AND(L18&gt;0,[6]EvaluaciónRiesgoCorrup!$F$11&gt;50,[6]EvaluaciónRiesgoCorrup!$F$11&lt;76,F18=5,H18=20),$K$28," ")))</f>
        <v xml:space="preserve"> </v>
      </c>
      <c r="AS18" s="125" t="str">
        <f>IF(AND(L18&gt;0,[6]EvaluaciónRiesgoCorrup!$F$11&lt;51,F18=1,H18=5),$H$25,IF(AND(L18&gt;0,[6]EvaluaciónRiesgoCorrup!$F$11&lt;51,F18=1,H18=10),$J$25,IF(AND(L18&gt;0,[6]EvaluaciónRiesgoCorrup!$F$11&lt;51,F18=1,H18=20),K$25," ")))</f>
        <v xml:space="preserve"> </v>
      </c>
      <c r="AT18" s="125" t="str">
        <f>IF(AND(L18&gt;0,[6]EvaluaciónRiesgoCorrup!$F$11&lt;51,F18=2,H18=5),$H$26,IF(AND(L18&gt;0,[6]EvaluaciónRiesgoCorrup!$F$11&lt;51,F18=2,H18=10),$J$26,IF(AND(L18&gt;0,[6]EvaluaciónRiesgoCorrup!$F$11&lt;51,F18=2,H18=20),K$26," ")))</f>
        <v xml:space="preserve"> </v>
      </c>
      <c r="AU18" s="125" t="str">
        <f>IF(AND(L18&gt;0,[6]EvaluaciónRiesgoCorrup!$F$11&lt;51,F18=3,H18=5),$H$27,IF(AND(L18&gt;0,[6]EvaluaciónRiesgoCorrup!$F$11&lt;51,F18=3,H18=10),$J$27,IF(AND(L18&gt;0,[6]EvaluaciónRiesgoCorrup!$F$11&lt;51,F18=3,H18=20),K$27," ")))</f>
        <v xml:space="preserve"> </v>
      </c>
      <c r="AV18" s="125" t="str">
        <f>IF(AND(L18&gt;0,[6]EvaluaciónRiesgoCorrup!$F$11&lt;51,F18=4,H18=5),$H$28,IF(AND(L18&gt;0,[6]EvaluaciónRiesgoCorrup!$F$11&lt;51,F18=4,H18=10),$J$28,IF(AND(L18&gt;0,[6]EvaluaciónRiesgoCorrup!$F$11&lt;51,F18=4,H18=20),K$28," ")))</f>
        <v xml:space="preserve"> </v>
      </c>
      <c r="AW18" s="125" t="str">
        <f>IF(AND(L18&gt;0,[6]EvaluaciónRiesgoCorrup!$F$11&lt;51,F18=5,H18=5),$H$29,IF(AND(L18&gt;0,[6]EvaluaciónRiesgoCorrup!$F$11&lt;51,F18=5,H18=10),$J$29,IF(AND(L18&gt;0,[6]EvaluaciónRiesgoCorrup!$F$11&lt;51,F18=5,H18=20),K$29," ")))</f>
        <v xml:space="preserve"> </v>
      </c>
      <c r="BA18" s="125" t="str">
        <f>IF(AND(M18&gt;0,[6]EvaluaciónRiesgoCorrup!$F$11&gt;75,F18=1,H18=5),$H$25,IF(AND(M18&gt;0,[6]EvaluaciónRiesgoCorrup!$F$11&gt;75,F18=1,H18=10),$H$25,IF(AND(M18&gt;0,[6]EvaluaciónRiesgoCorrup!$F$11&gt;75,F18=1,H18=20),$H$25," ")))</f>
        <v xml:space="preserve"> </v>
      </c>
      <c r="BB18" s="125" t="str">
        <f>IF(AND(M18&gt;0,[6]EvaluaciónRiesgoCorrup!$F$11&gt;75,F18=2,H18=5),$H$26,IF(AND(M18&gt;0,[6]EvaluaciónRiesgoCorrup!$F$11&gt;75,F18=2,H18=10),$H$26,IF(AND(M18&gt;0,[6]EvaluaciónRiesgoCorrup!$F$11&gt;75,F18=2,H18=20),$H$26," ")))</f>
        <v xml:space="preserve"> </v>
      </c>
      <c r="BC18" s="125" t="str">
        <f>IF(AND(M18&gt;0,[6]EvaluaciónRiesgoCorrup!$F$11&gt;75,F18=3,H18=5),$H$27,IF(AND(M18&gt;0,[6]EvaluaciónRiesgoCorrup!$F$11&gt;75,F18=3,H18=10),$H$27,IF(AND(M18&gt;0,[6]EvaluaciónRiesgoCorrup!$F$11&gt;75,F18=3,H18=20),$H$27," ")))</f>
        <v xml:space="preserve"> </v>
      </c>
      <c r="BD18" s="125" t="str">
        <f>IF(AND(M18&gt;0,[6]EvaluaciónRiesgoCorrup!$F$11&gt;75,F18=4,H18=5),$H$28,IF(AND(M18&gt;0,[6]EvaluaciónRiesgoCorrup!$F$11&gt;75,F18=4,H18=10),$H$28,IF(AND(M18&gt;0,[6]EvaluaciónRiesgoCorrup!$F$11&gt;75,F18=4,H18=20),$H$28," ")))</f>
        <v xml:space="preserve"> </v>
      </c>
      <c r="BE18" s="125" t="str">
        <f>IF(AND(M18&gt;0,[6]EvaluaciónRiesgoCorrup!$F$11&gt;75,F18=5,H18=5),$H$29,IF(AND(M18&gt;0,[6]EvaluaciónRiesgoCorrup!$F$11&gt;75,F18=5,H18=10),$H$29,IF(AND(M18&gt;0,[6]EvaluaciónRiesgoCorrup!$F$11&gt;75,F18=5,H18=20),$H$29," ")))</f>
        <v xml:space="preserve"> </v>
      </c>
      <c r="BH18" s="125" t="str">
        <f>IF(AND(M18&gt;0,[6]EvaluaciónRiesgoCorrup!$F$11&gt;50,[6]EvaluaciónRiesgoCorrup!$F$11&lt;76,F18=1,H18=5),$H$25,IF(AND(M18&gt;0,[6]EvaluaciónRiesgoCorrup!$F$11&gt;50,[6]EvaluaciónRiesgoCorrup!$F$11&lt;76,F18=1,H18=10),$H$25,IF(AND(M18&gt;0,[6]EvaluaciónRiesgoCorrup!$F$11&gt;50,[6]EvaluaciónRiesgoCorrup!$F$11&lt;76,F18=1,H18=20),$J$25," ")))</f>
        <v xml:space="preserve"> </v>
      </c>
      <c r="BI18" s="125" t="str">
        <f>IF(AND(M18&gt;0,[6]EvaluaciónRiesgoCorrup!$F$11&gt;50,[6]EvaluaciónRiesgoCorrup!$F$11&lt;76,F18=2,H18=5),$H$26,IF(AND(M18&gt;0,[6]EvaluaciónRiesgoCorrup!$F$11&gt;50,[6]EvaluaciónRiesgoCorrup!$F$11&lt;76,F18=2,H18=10),$H$26,IF(AND(M18&gt;0,[6]EvaluaciónRiesgoCorrup!$F$11&gt;50,[6]EvaluaciónRiesgoCorrup!$F$11&lt;76,F18=2,H18=20),$J$26," ")))</f>
        <v xml:space="preserve"> </v>
      </c>
      <c r="BJ18" s="125" t="str">
        <f>IF(AND(M18&gt;0,[6]EvaluaciónRiesgoCorrup!$F$11&gt;50,[6]EvaluaciónRiesgoCorrup!$F$11&lt;76,F18=3,H18=5),$H$27,IF(AND(M18&gt;0,[6]EvaluaciónRiesgoCorrup!$F$11&gt;50,[6]EvaluaciónRiesgoCorrup!$F$11&lt;76,F18=3,H18=10),$H$27,IF(AND(M18&gt;0,[6]EvaluaciónRiesgoCorrup!$F$11&gt;50,[6]EvaluaciónRiesgoCorrup!$F$11&lt;76,F18=3,H18=20),$J$27," ")))</f>
        <v xml:space="preserve"> </v>
      </c>
      <c r="BK18" s="125" t="str">
        <f>IF(AND(M18&gt;0,[6]EvaluaciónRiesgoCorrup!$F$11&gt;50,[6]EvaluaciónRiesgoCorrup!$F$11&lt;76,F18=4,H18=5),$H$28,IF(AND(M18&gt;0,[6]EvaluaciónRiesgoCorrup!$F$11&gt;50,[6]EvaluaciónRiesgoCorrup!$F$11&lt;76,F18=4,H18=10),$H$28,IF(AND(M18&gt;0,[6]EvaluaciónRiesgoCorrup!$F$11&gt;50,[6]EvaluaciónRiesgoCorrup!$F$11&lt;76,F18=4,H18=20),$J$28," ")))</f>
        <v xml:space="preserve"> </v>
      </c>
      <c r="BL18" s="125" t="str">
        <f>IF(AND(M18&gt;0,[6]EvaluaciónRiesgoCorrup!$F$11&gt;50,[6]EvaluaciónRiesgoCorrup!$F$11&lt;76,F18=5,H18=5),$H$29,IF(AND(M18&gt;0,[6]EvaluaciónRiesgoCorrup!$F$11&gt;50,[6]EvaluaciónRiesgoCorrup!$F$11&lt;76,F18=5,H18=10),$H$29,IF(AND(M18&gt;0,[6]EvaluaciónRiesgoCorrup!$F$11&gt;50,[6]EvaluaciónRiesgoCorrup!$F$11&lt;76,F18=5,H18=20),$J$29," ")))</f>
        <v xml:space="preserve"> </v>
      </c>
      <c r="BO18" s="125" t="str">
        <f>IF(AND(M18&gt;0,[6]EvaluaciónRiesgoCorrup!$F$11&lt;51,F18=1,H18=5),$H$25,IF(AND(M18&gt;0,[6]EvaluaciónRiesgoCorrup!$F$11&lt;51,F18=1,H18=10),$J$25,IF(AND(M18&gt;0,[6]EvaluaciónRiesgoCorrup!$F$11&lt;51,F18=1,H18=20),$K$25," ")))</f>
        <v xml:space="preserve"> </v>
      </c>
      <c r="BP18" s="125" t="str">
        <f>IF(AND(M18&gt;0,[6]EvaluaciónRiesgoCorrup!$F$11&lt;51,F18=2,H18=5),$H$26,IF(AND(M18&gt;0,[6]EvaluaciónRiesgoCorrup!$F$11&lt;51,F18=2,H18=10),$J$26,IF(AND(M18&gt;0,[6]EvaluaciónRiesgoCorrup!$F$11&lt;51,F18=2,H18=20),$K$26," ")))</f>
        <v xml:space="preserve"> </v>
      </c>
      <c r="BQ18" s="125" t="str">
        <f>IF(AND(M18&gt;0,[6]EvaluaciónRiesgoCorrup!$F$11&lt;51,F18=3,H18=5),$H$27,IF(AND(M18&gt;0,[6]EvaluaciónRiesgoCorrup!$F$11&lt;51,F18=3,H18=10),$J$27,IF(AND(M18&gt;0,[6]EvaluaciónRiesgoCorrup!$F$11&lt;51,F18=3,H18=20),$K$27," ")))</f>
        <v xml:space="preserve"> </v>
      </c>
      <c r="BR18" s="125" t="str">
        <f>IF(AND(M18&gt;0,[6]EvaluaciónRiesgoCorrup!$F$11&lt;51,F18=4,H18=5),$H$28,IF(AND(M18&gt;0,[6]EvaluaciónRiesgoCorrup!$F$11&lt;51,F18=4,H18=10),$J$28,IF(AND(M18&gt;0,[6]EvaluaciónRiesgoCorrup!$F$11&lt;51,F18=4,H18=20),$K$28," ")))</f>
        <v xml:space="preserve"> </v>
      </c>
      <c r="BS18" s="125" t="str">
        <f>IF(AND(M18&gt;0,[6]EvaluaciónRiesgoCorrup!$F$11&lt;51,F18=5,H18=5),$H$29,IF(AND(M18&gt;0,[6]EvaluaciónRiesgoCorrup!$F$11&lt;51,F18=5,H18=10),$J$29,IF(AND(M18&gt;0,[6]EvaluaciónRiesgoCorrup!$F$11&lt;51,F18=5,H18=20),$K$29," ")))</f>
        <v xml:space="preserve"> </v>
      </c>
    </row>
    <row r="19" spans="1:71" ht="153.75" customHeight="1" x14ac:dyDescent="0.25">
      <c r="A19" s="300"/>
      <c r="B19" s="300"/>
      <c r="C19" s="300"/>
      <c r="D19" s="300"/>
      <c r="E19" s="302"/>
      <c r="F19" s="303"/>
      <c r="G19" s="303"/>
      <c r="H19" s="304"/>
      <c r="I19" s="304"/>
      <c r="J19" s="305"/>
      <c r="K19" s="336"/>
      <c r="L19" s="599"/>
      <c r="M19" s="600"/>
      <c r="N19" s="305"/>
      <c r="O19" s="301"/>
      <c r="P19" s="306"/>
      <c r="Q19" s="350"/>
      <c r="R19" s="308"/>
      <c r="S19" s="292"/>
      <c r="T19" s="293"/>
      <c r="U19" s="497"/>
      <c r="V19" s="498"/>
      <c r="W19" s="495"/>
      <c r="Y19" s="125" t="str">
        <f>IF(AND(F19=1,H19=5),$H$25,IF(AND(F19=1,H19=10),$J$25,IF(AND(F19=1,H19=20),$K$25," ")))</f>
        <v xml:space="preserve"> </v>
      </c>
      <c r="Z19" s="125" t="str">
        <f>IF(AND(F19=2,H19=5),$H$26,IF(AND(F19=2,H19=10),$J$26,IF(AND(F19=2,H19=20),$K$26," ")))</f>
        <v xml:space="preserve"> </v>
      </c>
      <c r="AA19" s="125" t="str">
        <f>IF(AND(F19=3,H19=5),$H$27,IF(AND(F19=3,H19=10),$J$27,IF(AND(F19=3,H19=20),$K$27," ")))</f>
        <v xml:space="preserve"> </v>
      </c>
      <c r="AB19" s="125" t="str">
        <f>IF(AND(F19=4,H19=5),$H$28,IF(AND(F19=4,H19=10),$J$28,IF(AND(F19=4,H19=20),$K$28," ")))</f>
        <v xml:space="preserve"> </v>
      </c>
      <c r="AC19" s="125" t="str">
        <f>IF(AND(F19=5,H19=5),$H$29,IF(AND(F19=5,H19=10),$J$29,IF(AND(F19=5,H19=20),$K$29," ")))</f>
        <v xml:space="preserve"> </v>
      </c>
      <c r="AF19" s="125" t="str">
        <f>IF(AND(L19&gt;0,[6]EvaluaciónRiesgoCorrup!$F$11&gt;75,F19=1,H19=5),$H$25,IF(AND(L19&gt;0,[6]EvaluaciónRiesgoCorrup!$F$11&gt;75,F19=1,H19=10),$J$25,IF(AND(L19&gt;0,[6]EvaluaciónRiesgoCorrup!$F$11&gt;75,F19=1,H19=20),$K$25," ")))</f>
        <v xml:space="preserve"> </v>
      </c>
      <c r="AG19" s="125" t="str">
        <f>IF(AND(L19&gt;0,[6]EvaluaciónRiesgoCorrup!$F$11&gt;75,F19=2,H19=5),$H$25,IF(AND(L19&gt;0,[6]EvaluaciónRiesgoCorrup!$F$11&gt;75,F19=2,H19=10),$J$25,IF(AND(L19&gt;0,[6]EvaluaciónRiesgoCorrup!$F$11&gt;75,F19=2,H19=20),$K$25," ")))</f>
        <v xml:space="preserve"> </v>
      </c>
      <c r="AH19" s="125" t="str">
        <f>IF(AND(L19&gt;0,[6]EvaluaciónRiesgoCorrup!$F$11&gt;75,F19=3,H19=5),$H$25,IF(AND(L19&gt;0,[6]EvaluaciónRiesgoCorrup!$F$11&gt;75,F19=3,H19=10),$J$25,IF(AND(L19&gt;0,[6]EvaluaciónRiesgoCorrup!$F$11&gt;75,F19=3,H19=20),$K$25," ")))</f>
        <v xml:space="preserve"> </v>
      </c>
      <c r="AI19" s="125" t="str">
        <f>IF(AND(L19&gt;0,[6]EvaluaciónRiesgoCorrup!$F$11&gt;75,F19=4,H19=5),$H$26,IF(AND(L19&gt;0,[6]EvaluaciónRiesgoCorrup!$F$11&gt;75,F19=4,H19=10),$J$26,IF(AND(L19&gt;0,[6]EvaluaciónRiesgoCorrup!$F$11&gt;75,F19=4,H19=20),$K$26," ")))</f>
        <v xml:space="preserve"> </v>
      </c>
      <c r="AJ19" s="125" t="str">
        <f>IF(AND(L19&gt;0,[6]EvaluaciónRiesgoCorrup!$F$11&gt;75,F19=5,H19=5),$H$27,IF(AND(L19&gt;0,[6]EvaluaciónRiesgoCorrup!$F$11&gt;75,F19=5,H19=10),$J$27,IF(AND(L19&gt;0,[6]EvaluaciónRiesgoCorrup!$F$11&gt;75,F19=5,H19=20),$K$27," ")))</f>
        <v xml:space="preserve"> </v>
      </c>
      <c r="AL19" s="125" t="str">
        <f>IF(AND(L19&gt;0,[6]EvaluaciónRiesgoCorrup!$F$11&gt;50,[6]EvaluaciónRiesgoCorrup!$F$11&lt;76,F19=1,H19=5),$H$25,IF(AND(L19&gt;0,[6]EvaluaciónRiesgoCorrup!$F$11&gt;50,[6]EvaluaciónRiesgoCorrup!$F$11&lt;76,F19=1,H19=10),$J$25,IF(AND(L19&gt;0,[6]EvaluaciónRiesgoCorrup!$F$11&gt;50,[6]EvaluaciónRiesgoCorrup!$F$11&lt;76,F19=1,H19=20),$K$25," ")))</f>
        <v xml:space="preserve"> </v>
      </c>
      <c r="AM19" s="125" t="str">
        <f>IF(AND(L19&gt;0,[6]EvaluaciónRiesgoCorrup!$F$11&gt;50,[6]EvaluaciónRiesgoCorrup!$F$11&lt;76,F19=2,H19=5),$H$25,IF(AND(L19&gt;0,[6]EvaluaciónRiesgoCorrup!$F$11&gt;50,[6]EvaluaciónRiesgoCorrup!$F$11&lt;76,F19=2,H19=10),$J$25,IF(AND(L19&gt;0,[6]EvaluaciónRiesgoCorrup!$F$11&gt;50,[6]EvaluaciónRiesgoCorrup!$F$11&lt;76,F19=2,H19=20),$K$25," ")))</f>
        <v xml:space="preserve"> </v>
      </c>
      <c r="AN19" s="125" t="str">
        <f>IF(AND(L19&gt;0,[6]EvaluaciónRiesgoCorrup!$F$11&gt;50,[6]EvaluaciónRiesgoCorrup!$F$11&lt;76,F19=3,H19=5),$H$26,IF(AND(L19&gt;0,[6]EvaluaciónRiesgoCorrup!$F$11&gt;50,[6]EvaluaciónRiesgoCorrup!$F$11&lt;76,F19=3,H19=10),$J$26,IF(AND(L19&gt;0,[6]EvaluaciónRiesgoCorrup!$F$11&gt;50,[6]EvaluaciónRiesgoCorrup!$F$11&lt;76,F19=3,H19=20),$K$26," ")))</f>
        <v xml:space="preserve"> </v>
      </c>
      <c r="AO19" s="125" t="str">
        <f>IF(AND(L19&gt;0,[6]EvaluaciónRiesgoCorrup!$F$11&gt;50,[6]EvaluaciónRiesgoCorrup!$F$11&lt;76,F19=4,H19=5),$H$27,IF(AND(L19&gt;0,[6]EvaluaciónRiesgoCorrup!$F$11&gt;50,[6]EvaluaciónRiesgoCorrup!$F$11&lt;76,F19=4,H19=10),$J$27,IF(AND(L19&gt;0,[6]EvaluaciónRiesgoCorrup!$F$11&gt;50,[6]EvaluaciónRiesgoCorrup!$F$11&lt;76,F19=4,H19=20),$K$27," ")))</f>
        <v xml:space="preserve"> </v>
      </c>
      <c r="AP19" s="125" t="str">
        <f>IF(AND(L19&gt;0,[6]EvaluaciónRiesgoCorrup!$F$11&gt;50,[6]EvaluaciónRiesgoCorrup!$F$11&lt;76,F19=5,H19=5),$H$28,IF(AND(L19&gt;0,[6]EvaluaciónRiesgoCorrup!$F$11&gt;50,[6]EvaluaciónRiesgoCorrup!$F$11&lt;76,F19=5,H19=10),$J$28,IF(AND(L19&gt;0,[6]EvaluaciónRiesgoCorrup!$F$11&gt;50,[6]EvaluaciónRiesgoCorrup!$F$11&lt;76,F19=5,H19=20),$K$28," ")))</f>
        <v xml:space="preserve"> </v>
      </c>
      <c r="AS19" s="125" t="str">
        <f>IF(AND(L19&gt;0,[6]EvaluaciónRiesgoCorrup!$F$11&lt;51,F19=1,H19=5),$H$25,IF(AND(L19&gt;0,[6]EvaluaciónRiesgoCorrup!$F$11&lt;51,F19=1,H19=10),$J$25,IF(AND(L19&gt;0,[6]EvaluaciónRiesgoCorrup!$F$11&lt;51,F19=1,H19=20),K$25," ")))</f>
        <v xml:space="preserve"> </v>
      </c>
      <c r="AT19" s="125" t="str">
        <f>IF(AND(L19&gt;0,[6]EvaluaciónRiesgoCorrup!$F$11&lt;51,F19=2,H19=5),$H$26,IF(AND(L19&gt;0,[6]EvaluaciónRiesgoCorrup!$F$11&lt;51,F19=2,H19=10),$J$26,IF(AND(L19&gt;0,[6]EvaluaciónRiesgoCorrup!$F$11&lt;51,F19=2,H19=20),K$26," ")))</f>
        <v xml:space="preserve"> </v>
      </c>
      <c r="AU19" s="125" t="str">
        <f>IF(AND(L19&gt;0,[6]EvaluaciónRiesgoCorrup!$F$11&lt;51,F19=3,H19=5),$H$27,IF(AND(L19&gt;0,[6]EvaluaciónRiesgoCorrup!$F$11&lt;51,F19=3,H19=10),$J$27,IF(AND(L19&gt;0,[6]EvaluaciónRiesgoCorrup!$F$11&lt;51,F19=3,H19=20),K$27," ")))</f>
        <v xml:space="preserve"> </v>
      </c>
      <c r="AV19" s="125" t="str">
        <f>IF(AND(L19&gt;0,[6]EvaluaciónRiesgoCorrup!$F$11&lt;51,F19=4,H19=5),$H$28,IF(AND(L19&gt;0,[6]EvaluaciónRiesgoCorrup!$F$11&lt;51,F19=4,H19=10),$J$28,IF(AND(L19&gt;0,[6]EvaluaciónRiesgoCorrup!$F$11&lt;51,F19=4,H19=20),K$28," ")))</f>
        <v xml:space="preserve"> </v>
      </c>
      <c r="AW19" s="125" t="str">
        <f>IF(AND(L19&gt;0,[6]EvaluaciónRiesgoCorrup!$F$11&lt;51,F19=5,H19=5),$H$29,IF(AND(L19&gt;0,[6]EvaluaciónRiesgoCorrup!$F$11&lt;51,F19=5,H19=10),$J$29,IF(AND(L19&gt;0,[6]EvaluaciónRiesgoCorrup!$F$11&lt;51,F19=5,H19=20),K$29," ")))</f>
        <v xml:space="preserve"> </v>
      </c>
      <c r="BA19" s="125" t="str">
        <f>IF(AND(M19&gt;0,[6]EvaluaciónRiesgoCorrup!$F$11&gt;75,F19=1,H19=5),$H$25,IF(AND(M19&gt;0,[6]EvaluaciónRiesgoCorrup!$F$11&gt;75,F19=1,H19=10),$H$25,IF(AND(M19&gt;0,[6]EvaluaciónRiesgoCorrup!$F$11&gt;75,F19=1,H19=20),$H$25," ")))</f>
        <v xml:space="preserve"> </v>
      </c>
      <c r="BB19" s="125" t="str">
        <f>IF(AND(M19&gt;0,[6]EvaluaciónRiesgoCorrup!$F$11&gt;75,F19=2,H19=5),$H$26,IF(AND(M19&gt;0,[6]EvaluaciónRiesgoCorrup!$F$11&gt;75,F19=2,H19=10),$H$26,IF(AND(M19&gt;0,[6]EvaluaciónRiesgoCorrup!$F$11&gt;75,F19=2,H19=20),$H$26," ")))</f>
        <v xml:space="preserve"> </v>
      </c>
      <c r="BC19" s="125" t="str">
        <f>IF(AND(M19&gt;0,[6]EvaluaciónRiesgoCorrup!$F$11&gt;75,F19=3,H19=5),$H$27,IF(AND(M19&gt;0,[6]EvaluaciónRiesgoCorrup!$F$11&gt;75,F19=3,H19=10),$H$27,IF(AND(M19&gt;0,[6]EvaluaciónRiesgoCorrup!$F$11&gt;75,F19=3,H19=20),$H$27," ")))</f>
        <v xml:space="preserve"> </v>
      </c>
      <c r="BD19" s="125" t="str">
        <f>IF(AND(M19&gt;0,[6]EvaluaciónRiesgoCorrup!$F$11&gt;75,F19=4,H19=5),$H$28,IF(AND(M19&gt;0,[6]EvaluaciónRiesgoCorrup!$F$11&gt;75,F19=4,H19=10),$H$28,IF(AND(M19&gt;0,[6]EvaluaciónRiesgoCorrup!$F$11&gt;75,F19=4,H19=20),$H$28," ")))</f>
        <v xml:space="preserve"> </v>
      </c>
      <c r="BE19" s="125" t="str">
        <f>IF(AND(M19&gt;0,[6]EvaluaciónRiesgoCorrup!$F$11&gt;75,F19=5,H19=5),$H$29,IF(AND(M19&gt;0,[6]EvaluaciónRiesgoCorrup!$F$11&gt;75,F19=5,H19=10),$H$29,IF(AND(M19&gt;0,[6]EvaluaciónRiesgoCorrup!$F$11&gt;75,F19=5,H19=20),$H$29," ")))</f>
        <v xml:space="preserve"> </v>
      </c>
      <c r="BH19" s="125" t="str">
        <f>IF(AND(M19&gt;0,[6]EvaluaciónRiesgoCorrup!$F$11&gt;50,[6]EvaluaciónRiesgoCorrup!$F$11&lt;76,F19=1,H19=5),$H$25,IF(AND(M19&gt;0,[6]EvaluaciónRiesgoCorrup!$F$11&gt;50,[6]EvaluaciónRiesgoCorrup!$F$11&lt;76,F19=1,H19=10),$H$25,IF(AND(M19&gt;0,[6]EvaluaciónRiesgoCorrup!$F$11&gt;50,[6]EvaluaciónRiesgoCorrup!$F$11&lt;76,F19=1,H19=20),$J$25," ")))</f>
        <v xml:space="preserve"> </v>
      </c>
      <c r="BI19" s="125" t="str">
        <f>IF(AND(M19&gt;0,[6]EvaluaciónRiesgoCorrup!$F$11&gt;50,[6]EvaluaciónRiesgoCorrup!$F$11&lt;76,F19=2,H19=5),$H$26,IF(AND(M19&gt;0,[6]EvaluaciónRiesgoCorrup!$F$11&gt;50,[6]EvaluaciónRiesgoCorrup!$F$11&lt;76,F19=2,H19=10),$H$26,IF(AND(M19&gt;0,[6]EvaluaciónRiesgoCorrup!$F$11&gt;50,[6]EvaluaciónRiesgoCorrup!$F$11&lt;76,F19=2,H19=20),$J$26," ")))</f>
        <v xml:space="preserve"> </v>
      </c>
      <c r="BJ19" s="125" t="str">
        <f>IF(AND(M19&gt;0,[6]EvaluaciónRiesgoCorrup!$F$11&gt;50,[6]EvaluaciónRiesgoCorrup!$F$11&lt;76,F19=3,H19=5),$H$27,IF(AND(M19&gt;0,[6]EvaluaciónRiesgoCorrup!$F$11&gt;50,[6]EvaluaciónRiesgoCorrup!$F$11&lt;76,F19=3,H19=10),$H$27,IF(AND(M19&gt;0,[6]EvaluaciónRiesgoCorrup!$F$11&gt;50,[6]EvaluaciónRiesgoCorrup!$F$11&lt;76,F19=3,H19=20),$J$27," ")))</f>
        <v xml:space="preserve"> </v>
      </c>
      <c r="BK19" s="125" t="str">
        <f>IF(AND(M19&gt;0,[6]EvaluaciónRiesgoCorrup!$F$11&gt;50,[6]EvaluaciónRiesgoCorrup!$F$11&lt;76,F19=4,H19=5),$H$28,IF(AND(M19&gt;0,[6]EvaluaciónRiesgoCorrup!$F$11&gt;50,[6]EvaluaciónRiesgoCorrup!$F$11&lt;76,F19=4,H19=10),$H$28,IF(AND(M19&gt;0,[6]EvaluaciónRiesgoCorrup!$F$11&gt;50,[6]EvaluaciónRiesgoCorrup!$F$11&lt;76,F19=4,H19=20),$J$28," ")))</f>
        <v xml:space="preserve"> </v>
      </c>
      <c r="BL19" s="125" t="str">
        <f>IF(AND(M19&gt;0,[6]EvaluaciónRiesgoCorrup!$F$11&gt;50,[6]EvaluaciónRiesgoCorrup!$F$11&lt;76,F19=5,H19=5),$H$29,IF(AND(M19&gt;0,[6]EvaluaciónRiesgoCorrup!$F$11&gt;50,[6]EvaluaciónRiesgoCorrup!$F$11&lt;76,F19=5,H19=10),$H$29,IF(AND(M19&gt;0,[6]EvaluaciónRiesgoCorrup!$F$11&gt;50,[6]EvaluaciónRiesgoCorrup!$F$11&lt;76,F19=5,H19=20),$J$29," ")))</f>
        <v xml:space="preserve"> </v>
      </c>
      <c r="BO19" s="125" t="str">
        <f>IF(AND(M19&gt;0,[6]EvaluaciónRiesgoCorrup!$F$11&lt;51,F19=1,H19=5),$H$25,IF(AND(M19&gt;0,[6]EvaluaciónRiesgoCorrup!$F$11&lt;51,F19=1,H19=10),$J$25,IF(AND(M19&gt;0,[6]EvaluaciónRiesgoCorrup!$F$11&lt;51,F19=1,H19=20),$K$25," ")))</f>
        <v xml:space="preserve"> </v>
      </c>
      <c r="BP19" s="125" t="str">
        <f>IF(AND(M19&gt;0,[6]EvaluaciónRiesgoCorrup!$F$11&lt;51,F19=2,H19=5),$H$26,IF(AND(M19&gt;0,[6]EvaluaciónRiesgoCorrup!$F$11&lt;51,F19=2,H19=10),$J$26,IF(AND(M19&gt;0,[6]EvaluaciónRiesgoCorrup!$F$11&lt;51,F19=2,H19=20),$K$26," ")))</f>
        <v xml:space="preserve"> </v>
      </c>
      <c r="BQ19" s="125" t="str">
        <f>IF(AND(M19&gt;0,[6]EvaluaciónRiesgoCorrup!$F$11&lt;51,F19=3,H19=5),$H$27,IF(AND(M19&gt;0,[6]EvaluaciónRiesgoCorrup!$F$11&lt;51,F19=3,H19=10),$J$27,IF(AND(M19&gt;0,[6]EvaluaciónRiesgoCorrup!$F$11&lt;51,F19=3,H19=20),$K$27," ")))</f>
        <v xml:space="preserve"> </v>
      </c>
      <c r="BR19" s="125" t="str">
        <f>IF(AND(M19&gt;0,[6]EvaluaciónRiesgoCorrup!$F$11&lt;51,F19=4,H19=5),$H$28,IF(AND(M19&gt;0,[6]EvaluaciónRiesgoCorrup!$F$11&lt;51,F19=4,H19=10),$J$28,IF(AND(M19&gt;0,[6]EvaluaciónRiesgoCorrup!$F$11&lt;51,F19=4,H19=20),$K$28," ")))</f>
        <v xml:space="preserve"> </v>
      </c>
      <c r="BS19" s="125" t="str">
        <f>IF(AND(M19&gt;0,[6]EvaluaciónRiesgoCorrup!$F$11&lt;51,F19=5,H19=5),$H$29,IF(AND(M19&gt;0,[6]EvaluaciónRiesgoCorrup!$F$11&lt;51,F19=5,H19=10),$J$29,IF(AND(M19&gt;0,[6]EvaluaciónRiesgoCorrup!$F$11&lt;51,F19=5,H19=20),$K$29," ")))</f>
        <v xml:space="preserve"> </v>
      </c>
    </row>
    <row r="20" spans="1:71" ht="153.75" customHeight="1" x14ac:dyDescent="0.25">
      <c r="A20" s="338"/>
      <c r="B20" s="154"/>
      <c r="C20" s="340"/>
      <c r="D20" s="340"/>
      <c r="E20" s="340"/>
      <c r="F20" s="341"/>
      <c r="G20" s="341"/>
      <c r="H20" s="342"/>
      <c r="I20" s="342"/>
      <c r="J20" s="343"/>
      <c r="K20" s="155"/>
      <c r="L20" s="596"/>
      <c r="M20" s="597"/>
      <c r="N20" s="343"/>
      <c r="O20" s="337"/>
      <c r="P20" s="344"/>
      <c r="Q20" s="156"/>
      <c r="R20" s="306"/>
      <c r="S20" s="292"/>
      <c r="T20" s="293"/>
      <c r="U20" s="347"/>
      <c r="V20" s="339"/>
      <c r="W20" s="496"/>
    </row>
    <row r="21" spans="1:71" x14ac:dyDescent="0.25">
      <c r="A21" s="125"/>
      <c r="B21" s="126"/>
      <c r="C21" s="81"/>
      <c r="D21" s="81"/>
      <c r="E21" s="139"/>
      <c r="V21" s="125"/>
      <c r="W21" s="442"/>
    </row>
    <row r="22" spans="1:71" ht="15" thickBot="1" x14ac:dyDescent="0.3">
      <c r="A22" s="125"/>
      <c r="B22" s="126"/>
      <c r="C22" s="126"/>
      <c r="D22" s="126"/>
      <c r="E22" s="139"/>
      <c r="H22" s="140"/>
      <c r="I22" s="140"/>
      <c r="J22" s="140"/>
    </row>
    <row r="23" spans="1:71" ht="15.75" thickBot="1" x14ac:dyDescent="0.3">
      <c r="A23" s="6"/>
      <c r="B23" s="139"/>
      <c r="C23" s="139"/>
      <c r="D23" s="139"/>
      <c r="E23" s="139"/>
      <c r="F23" s="544" t="s">
        <v>25</v>
      </c>
      <c r="G23" s="77"/>
      <c r="H23" s="546" t="s">
        <v>9</v>
      </c>
      <c r="I23" s="546"/>
      <c r="J23" s="546"/>
      <c r="K23" s="547"/>
      <c r="L23" s="115"/>
      <c r="Q23" s="118"/>
      <c r="S23" s="115"/>
    </row>
    <row r="24" spans="1:71" ht="32.25" customHeight="1" thickBot="1" x14ac:dyDescent="0.3">
      <c r="A24" s="118"/>
      <c r="B24" s="127" t="s">
        <v>33</v>
      </c>
      <c r="C24" s="127"/>
      <c r="D24" s="127"/>
      <c r="E24" s="127"/>
      <c r="F24" s="545"/>
      <c r="G24" s="222"/>
      <c r="H24" s="128" t="s">
        <v>34</v>
      </c>
      <c r="I24" s="128"/>
      <c r="J24" s="34" t="s">
        <v>35</v>
      </c>
      <c r="K24" s="128" t="s">
        <v>36</v>
      </c>
      <c r="L24" s="115"/>
      <c r="Q24" s="118"/>
      <c r="S24" s="115"/>
    </row>
    <row r="25" spans="1:71" ht="15.75" thickBot="1" x14ac:dyDescent="0.3">
      <c r="B25" s="118" t="s">
        <v>37</v>
      </c>
      <c r="C25" s="118"/>
      <c r="D25" s="118"/>
      <c r="F25" s="129" t="s">
        <v>38</v>
      </c>
      <c r="G25" s="129"/>
      <c r="H25" s="130" t="s">
        <v>39</v>
      </c>
      <c r="I25" s="130"/>
      <c r="J25" s="130" t="s">
        <v>39</v>
      </c>
      <c r="K25" s="131" t="s">
        <v>40</v>
      </c>
      <c r="L25" s="115"/>
      <c r="Q25" s="118"/>
      <c r="S25" s="115"/>
    </row>
    <row r="26" spans="1:71" ht="15.75" thickBot="1" x14ac:dyDescent="0.3">
      <c r="F26" s="129" t="s">
        <v>41</v>
      </c>
      <c r="G26" s="129"/>
      <c r="H26" s="130" t="s">
        <v>39</v>
      </c>
      <c r="I26" s="130"/>
      <c r="J26" s="131" t="s">
        <v>40</v>
      </c>
      <c r="K26" s="38" t="s">
        <v>42</v>
      </c>
      <c r="L26" s="115"/>
      <c r="Q26" s="118"/>
      <c r="S26" s="115"/>
    </row>
    <row r="27" spans="1:71" ht="15.75" thickBot="1" x14ac:dyDescent="0.3">
      <c r="F27" s="129" t="s">
        <v>43</v>
      </c>
      <c r="G27" s="129"/>
      <c r="H27" s="131" t="s">
        <v>40</v>
      </c>
      <c r="I27" s="131"/>
      <c r="J27" s="38" t="s">
        <v>42</v>
      </c>
      <c r="K27" s="39" t="s">
        <v>44</v>
      </c>
      <c r="L27" s="115"/>
      <c r="Q27" s="118"/>
      <c r="S27" s="115"/>
    </row>
    <row r="28" spans="1:71" ht="15.75" thickBot="1" x14ac:dyDescent="0.3">
      <c r="F28" s="129" t="s">
        <v>45</v>
      </c>
      <c r="G28" s="129"/>
      <c r="H28" s="131" t="s">
        <v>40</v>
      </c>
      <c r="I28" s="131"/>
      <c r="J28" s="38" t="s">
        <v>42</v>
      </c>
      <c r="K28" s="39" t="s">
        <v>44</v>
      </c>
      <c r="L28" s="115"/>
      <c r="Q28" s="118"/>
      <c r="S28" s="115"/>
    </row>
    <row r="29" spans="1:71" ht="15.75" thickBot="1" x14ac:dyDescent="0.3">
      <c r="F29" s="129" t="s">
        <v>46</v>
      </c>
      <c r="G29" s="129"/>
      <c r="H29" s="131" t="s">
        <v>40</v>
      </c>
      <c r="I29" s="131"/>
      <c r="J29" s="38" t="s">
        <v>42</v>
      </c>
      <c r="K29" s="39" t="s">
        <v>44</v>
      </c>
      <c r="L29" s="115"/>
      <c r="Q29" s="118"/>
      <c r="S29" s="115"/>
    </row>
    <row r="30" spans="1:71" x14ac:dyDescent="0.25">
      <c r="F30" s="115"/>
      <c r="G30" s="115"/>
      <c r="H30" s="115"/>
      <c r="I30" s="115"/>
      <c r="J30" s="115"/>
      <c r="K30" s="118"/>
      <c r="M30" s="118"/>
    </row>
    <row r="31" spans="1:71" ht="15" x14ac:dyDescent="0.25">
      <c r="F31" s="132" t="s">
        <v>47</v>
      </c>
      <c r="G31" s="132"/>
      <c r="H31" s="115"/>
      <c r="I31" s="115"/>
      <c r="J31" s="115"/>
      <c r="K31" s="118"/>
      <c r="M31" s="118"/>
      <c r="N31" s="118"/>
      <c r="O31" s="118"/>
      <c r="P31" s="118"/>
    </row>
    <row r="32" spans="1:71" ht="15" x14ac:dyDescent="0.25">
      <c r="F32" s="133" t="s">
        <v>48</v>
      </c>
      <c r="G32" s="133"/>
      <c r="H32" s="115"/>
      <c r="I32" s="115"/>
      <c r="J32" s="115"/>
      <c r="K32" s="118"/>
      <c r="M32" s="118"/>
      <c r="N32" s="118"/>
      <c r="O32" s="118"/>
      <c r="P32" s="118"/>
    </row>
    <row r="33" spans="6:16" s="115" customFormat="1" ht="15" x14ac:dyDescent="0.25">
      <c r="F33" s="134" t="s">
        <v>49</v>
      </c>
      <c r="G33" s="134"/>
      <c r="K33" s="118"/>
      <c r="L33" s="118"/>
      <c r="M33" s="118"/>
      <c r="N33" s="118"/>
      <c r="O33" s="118"/>
      <c r="P33" s="118"/>
    </row>
    <row r="34" spans="6:16" s="115" customFormat="1" ht="15" x14ac:dyDescent="0.25">
      <c r="F34" s="135" t="s">
        <v>50</v>
      </c>
      <c r="G34" s="135"/>
      <c r="K34" s="118"/>
      <c r="L34" s="118"/>
      <c r="M34" s="118"/>
      <c r="N34" s="118"/>
      <c r="O34" s="118"/>
      <c r="P34" s="118"/>
    </row>
  </sheetData>
  <mergeCells count="37">
    <mergeCell ref="A12:D12"/>
    <mergeCell ref="F12:V12"/>
    <mergeCell ref="L20:M20"/>
    <mergeCell ref="F23:F24"/>
    <mergeCell ref="H23:K23"/>
    <mergeCell ref="T15:T16"/>
    <mergeCell ref="U15:U16"/>
    <mergeCell ref="L17:M17"/>
    <mergeCell ref="L18:M18"/>
    <mergeCell ref="L19:M19"/>
    <mergeCell ref="AH13:AZ13"/>
    <mergeCell ref="BB13:BU13"/>
    <mergeCell ref="A14:D14"/>
    <mergeCell ref="F14:H14"/>
    <mergeCell ref="K14:K16"/>
    <mergeCell ref="L14:N14"/>
    <mergeCell ref="P14:R14"/>
    <mergeCell ref="S14:V14"/>
    <mergeCell ref="V15:V16"/>
    <mergeCell ref="P15:R15"/>
    <mergeCell ref="S15:S16"/>
    <mergeCell ref="A15:A16"/>
    <mergeCell ref="B15:B16"/>
    <mergeCell ref="F15:H15"/>
    <mergeCell ref="L15:N15"/>
    <mergeCell ref="A6:D6"/>
    <mergeCell ref="F6:V6"/>
    <mergeCell ref="A8:D8"/>
    <mergeCell ref="F8:V8"/>
    <mergeCell ref="A10:D10"/>
    <mergeCell ref="F10:V10"/>
    <mergeCell ref="A1:D4"/>
    <mergeCell ref="F1:T4"/>
    <mergeCell ref="U1:V1"/>
    <mergeCell ref="U2:V2"/>
    <mergeCell ref="U3:V3"/>
    <mergeCell ref="U4:V4"/>
  </mergeCells>
  <conditionalFormatting sqref="J19 N19">
    <cfRule type="containsText" dxfId="87" priority="5" operator="containsText" text="E">
      <formula>NOT(ISERROR(SEARCH("E",J19)))</formula>
    </cfRule>
    <cfRule type="containsText" dxfId="86" priority="6" operator="containsText" text="M">
      <formula>NOT(ISERROR(SEARCH("M",J19)))</formula>
    </cfRule>
    <cfRule type="containsText" dxfId="85" priority="7" operator="containsText" text="A">
      <formula>NOT(ISERROR(SEARCH("A",J19)))</formula>
    </cfRule>
    <cfRule type="containsText" dxfId="84" priority="8" operator="containsText" text="B">
      <formula>NOT(ISERROR(SEARCH("B",J19)))</formula>
    </cfRule>
  </conditionalFormatting>
  <conditionalFormatting sqref="J17 N17:O17">
    <cfRule type="containsText" dxfId="83" priority="1" operator="containsText" text="E">
      <formula>NOT(ISERROR(SEARCH("E",J17)))</formula>
    </cfRule>
    <cfRule type="containsText" dxfId="82" priority="2" operator="containsText" text="M">
      <formula>NOT(ISERROR(SEARCH("M",J17)))</formula>
    </cfRule>
    <cfRule type="containsText" dxfId="81" priority="3" operator="containsText" text="A">
      <formula>NOT(ISERROR(SEARCH("A",J17)))</formula>
    </cfRule>
    <cfRule type="containsText" dxfId="80" priority="4" operator="containsText" text="B">
      <formula>NOT(ISERROR(SEARCH("B",J17)))</formula>
    </cfRule>
  </conditionalFormatting>
  <dataValidations count="3">
    <dataValidation type="list" allowBlank="1" showInputMessage="1" showErrorMessage="1" sqref="P20:Q20">
      <formula1>$J$31:$J$34</formula1>
    </dataValidation>
    <dataValidation type="list" allowBlank="1" showInputMessage="1" showErrorMessage="1" sqref="L20:O20 L18:O18">
      <formula1>#REF!</formula1>
    </dataValidation>
    <dataValidation type="list" allowBlank="1" showInputMessage="1" showErrorMessage="1" promptTitle="AFECTA A:" prompt="Seleccione según a quien afecte el control" sqref="L19:M19">
      <formula1>#REF!</formula1>
    </dataValidation>
  </dataValidations>
  <pageMargins left="0.7" right="0.7" top="0.75" bottom="0.75" header="0.3" footer="0.3"/>
  <pageSetup scale="1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34"/>
  <sheetViews>
    <sheetView topLeftCell="O11" workbookViewId="0">
      <selection activeCell="W17" sqref="W17"/>
    </sheetView>
  </sheetViews>
  <sheetFormatPr baseColWidth="10" defaultColWidth="11.42578125" defaultRowHeight="14.25" x14ac:dyDescent="0.25"/>
  <cols>
    <col min="1" max="1" width="56.5703125" style="441" customWidth="1"/>
    <col min="2" max="5" width="40.42578125" style="441" customWidth="1"/>
    <col min="6" max="7" width="27" style="118" customWidth="1"/>
    <col min="8" max="9" width="19" style="118" customWidth="1"/>
    <col min="10" max="10" width="26.7109375" style="118" customWidth="1"/>
    <col min="11" max="11" width="29.7109375" style="441" customWidth="1"/>
    <col min="12" max="12" width="17.7109375" style="118" customWidth="1"/>
    <col min="13" max="13" width="18.5703125" style="441" customWidth="1"/>
    <col min="14" max="15" width="21.7109375" style="441" customWidth="1"/>
    <col min="16" max="16" width="19.85546875" style="441" customWidth="1"/>
    <col min="17" max="17" width="31.5703125" style="441" customWidth="1"/>
    <col min="18" max="18" width="17" style="441" customWidth="1"/>
    <col min="19" max="19" width="23.140625" style="118" customWidth="1"/>
    <col min="20" max="20" width="57.140625" style="441" customWidth="1"/>
    <col min="21" max="21" width="30.42578125" style="441" customWidth="1"/>
    <col min="22" max="22" width="34.140625" style="441" customWidth="1"/>
    <col min="23" max="23" width="22" style="441" customWidth="1"/>
    <col min="24" max="24" width="30.42578125" style="441" customWidth="1"/>
    <col min="25" max="25" width="36" style="441" hidden="1" customWidth="1"/>
    <col min="26" max="26" width="0" style="441" hidden="1" customWidth="1"/>
    <col min="27" max="73" width="11.42578125" style="441" hidden="1" customWidth="1"/>
    <col min="74" max="74" width="11.42578125" style="441" customWidth="1"/>
    <col min="75" max="16384" width="11.42578125" style="441"/>
  </cols>
  <sheetData>
    <row r="1" spans="1:73" ht="21" customHeight="1" x14ac:dyDescent="0.25">
      <c r="A1" s="573"/>
      <c r="B1" s="573"/>
      <c r="C1" s="573"/>
      <c r="D1" s="573"/>
      <c r="E1" s="72"/>
      <c r="F1" s="574" t="s">
        <v>0</v>
      </c>
      <c r="G1" s="575"/>
      <c r="H1" s="575"/>
      <c r="I1" s="575"/>
      <c r="J1" s="575"/>
      <c r="K1" s="575"/>
      <c r="L1" s="575"/>
      <c r="M1" s="575"/>
      <c r="N1" s="575"/>
      <c r="O1" s="575"/>
      <c r="P1" s="575"/>
      <c r="Q1" s="575"/>
      <c r="R1" s="575"/>
      <c r="S1" s="575"/>
      <c r="T1" s="576"/>
      <c r="U1" s="583" t="s">
        <v>223</v>
      </c>
      <c r="V1" s="584"/>
      <c r="W1" s="450"/>
      <c r="X1" s="1"/>
      <c r="Y1" s="1"/>
    </row>
    <row r="2" spans="1:73" ht="22.5" customHeight="1" x14ac:dyDescent="0.25">
      <c r="A2" s="573"/>
      <c r="B2" s="573"/>
      <c r="C2" s="573"/>
      <c r="D2" s="573"/>
      <c r="E2" s="73"/>
      <c r="F2" s="577"/>
      <c r="G2" s="578"/>
      <c r="H2" s="578"/>
      <c r="I2" s="578"/>
      <c r="J2" s="578"/>
      <c r="K2" s="578"/>
      <c r="L2" s="578"/>
      <c r="M2" s="578"/>
      <c r="N2" s="578"/>
      <c r="O2" s="578"/>
      <c r="P2" s="578"/>
      <c r="Q2" s="578"/>
      <c r="R2" s="578"/>
      <c r="S2" s="578"/>
      <c r="T2" s="579"/>
      <c r="U2" s="583" t="s">
        <v>149</v>
      </c>
      <c r="V2" s="584"/>
      <c r="W2" s="450"/>
      <c r="X2" s="1"/>
      <c r="Y2" s="1"/>
    </row>
    <row r="3" spans="1:73" ht="21" customHeight="1" x14ac:dyDescent="0.25">
      <c r="A3" s="573"/>
      <c r="B3" s="573"/>
      <c r="C3" s="573"/>
      <c r="D3" s="573"/>
      <c r="E3" s="73"/>
      <c r="F3" s="577"/>
      <c r="G3" s="578"/>
      <c r="H3" s="578"/>
      <c r="I3" s="578"/>
      <c r="J3" s="578"/>
      <c r="K3" s="578"/>
      <c r="L3" s="578"/>
      <c r="M3" s="578"/>
      <c r="N3" s="578"/>
      <c r="O3" s="578"/>
      <c r="P3" s="578"/>
      <c r="Q3" s="578"/>
      <c r="R3" s="578"/>
      <c r="S3" s="578"/>
      <c r="T3" s="579"/>
      <c r="U3" s="583" t="s">
        <v>156</v>
      </c>
      <c r="V3" s="584"/>
      <c r="W3" s="450"/>
      <c r="X3" s="1"/>
      <c r="Y3" s="1"/>
    </row>
    <row r="4" spans="1:73" ht="20.25" customHeight="1" x14ac:dyDescent="0.25">
      <c r="A4" s="573"/>
      <c r="B4" s="573"/>
      <c r="C4" s="573"/>
      <c r="D4" s="573"/>
      <c r="E4" s="74"/>
      <c r="F4" s="580"/>
      <c r="G4" s="581"/>
      <c r="H4" s="581"/>
      <c r="I4" s="581"/>
      <c r="J4" s="581"/>
      <c r="K4" s="581"/>
      <c r="L4" s="581"/>
      <c r="M4" s="581"/>
      <c r="N4" s="581"/>
      <c r="O4" s="581"/>
      <c r="P4" s="581"/>
      <c r="Q4" s="581"/>
      <c r="R4" s="581"/>
      <c r="S4" s="581"/>
      <c r="T4" s="582"/>
      <c r="U4" s="583" t="s">
        <v>1</v>
      </c>
      <c r="V4" s="584"/>
      <c r="W4" s="450"/>
      <c r="X4" s="1"/>
      <c r="Y4" s="1"/>
    </row>
    <row r="5" spans="1:73" ht="8.25" customHeight="1" x14ac:dyDescent="0.25">
      <c r="B5" s="116"/>
      <c r="C5" s="116"/>
      <c r="D5" s="116"/>
      <c r="E5" s="116"/>
      <c r="F5" s="117"/>
      <c r="G5" s="117"/>
      <c r="H5" s="117"/>
      <c r="I5" s="117"/>
      <c r="J5" s="117"/>
      <c r="K5" s="117"/>
      <c r="L5" s="117"/>
      <c r="M5" s="117"/>
      <c r="N5" s="117"/>
      <c r="O5" s="117"/>
      <c r="P5" s="117"/>
      <c r="Q5" s="117"/>
      <c r="X5" s="442"/>
      <c r="Y5" s="442"/>
    </row>
    <row r="6" spans="1:73" ht="15.75" x14ac:dyDescent="0.25">
      <c r="A6" s="553" t="s">
        <v>2</v>
      </c>
      <c r="B6" s="553"/>
      <c r="C6" s="553"/>
      <c r="D6" s="553"/>
      <c r="E6" s="75"/>
      <c r="F6" s="590" t="s">
        <v>267</v>
      </c>
      <c r="G6" s="591"/>
      <c r="H6" s="591"/>
      <c r="I6" s="591"/>
      <c r="J6" s="591"/>
      <c r="K6" s="591"/>
      <c r="L6" s="591"/>
      <c r="M6" s="591"/>
      <c r="N6" s="591"/>
      <c r="O6" s="591"/>
      <c r="P6" s="591"/>
      <c r="Q6" s="591"/>
      <c r="R6" s="591"/>
      <c r="S6" s="591"/>
      <c r="T6" s="591"/>
      <c r="U6" s="591"/>
      <c r="V6" s="592"/>
      <c r="W6" s="494"/>
      <c r="X6" s="442"/>
      <c r="Y6" s="442"/>
    </row>
    <row r="7" spans="1:73" ht="6.75" customHeight="1" x14ac:dyDescent="0.25">
      <c r="B7" s="116"/>
      <c r="C7" s="116"/>
      <c r="D7" s="116"/>
      <c r="E7" s="116"/>
      <c r="F7" s="443"/>
      <c r="G7" s="443"/>
      <c r="H7" s="443"/>
      <c r="I7" s="443"/>
      <c r="J7" s="443"/>
      <c r="K7" s="443"/>
      <c r="L7" s="443"/>
      <c r="M7" s="443"/>
      <c r="N7" s="443"/>
      <c r="O7" s="443"/>
      <c r="P7" s="443"/>
      <c r="Q7" s="443"/>
      <c r="R7" s="444"/>
      <c r="S7" s="444"/>
      <c r="T7" s="444"/>
      <c r="U7" s="444"/>
      <c r="V7" s="444"/>
      <c r="W7" s="444"/>
      <c r="X7" s="442"/>
      <c r="Y7" s="442"/>
    </row>
    <row r="8" spans="1:73" ht="39.75" customHeight="1" x14ac:dyDescent="0.25">
      <c r="A8" s="553" t="s">
        <v>3</v>
      </c>
      <c r="B8" s="553"/>
      <c r="C8" s="553"/>
      <c r="D8" s="553"/>
      <c r="E8" s="75"/>
      <c r="F8" s="570" t="str">
        <f>[6]IdentRiesgo!B3</f>
        <v>Satisfacer las necesidades y expectativas de los usuarios y dar respuesta pertinente, confiable y oportuna de los servicios relacionados con las actividades misionales del Instituto.</v>
      </c>
      <c r="G8" s="571"/>
      <c r="H8" s="571"/>
      <c r="I8" s="571"/>
      <c r="J8" s="571"/>
      <c r="K8" s="571"/>
      <c r="L8" s="571"/>
      <c r="M8" s="571"/>
      <c r="N8" s="571"/>
      <c r="O8" s="571"/>
      <c r="P8" s="571"/>
      <c r="Q8" s="571"/>
      <c r="R8" s="571"/>
      <c r="S8" s="571"/>
      <c r="T8" s="571"/>
      <c r="U8" s="571"/>
      <c r="V8" s="572"/>
      <c r="W8" s="451"/>
      <c r="X8" s="9"/>
      <c r="Y8" s="9"/>
    </row>
    <row r="9" spans="1:73" ht="6.75" customHeight="1" x14ac:dyDescent="0.25">
      <c r="B9" s="119"/>
      <c r="C9" s="119"/>
      <c r="D9" s="119"/>
      <c r="E9" s="119"/>
      <c r="F9" s="122"/>
      <c r="G9" s="122"/>
      <c r="H9" s="122"/>
      <c r="I9" s="122"/>
      <c r="J9" s="122"/>
      <c r="K9" s="122"/>
      <c r="L9" s="122"/>
      <c r="M9" s="122"/>
      <c r="N9" s="122"/>
      <c r="O9" s="122"/>
      <c r="P9" s="122"/>
      <c r="Q9" s="122"/>
      <c r="R9" s="444"/>
      <c r="S9" s="444"/>
      <c r="T9" s="444"/>
      <c r="U9" s="444"/>
      <c r="V9" s="444"/>
      <c r="W9" s="444"/>
      <c r="X9" s="442"/>
      <c r="Y9" s="442"/>
    </row>
    <row r="10" spans="1:73" ht="15.75" x14ac:dyDescent="0.25">
      <c r="A10" s="553" t="s">
        <v>4</v>
      </c>
      <c r="B10" s="553"/>
      <c r="C10" s="553"/>
      <c r="D10" s="553"/>
      <c r="E10" s="75"/>
      <c r="F10" s="593" t="s">
        <v>268</v>
      </c>
      <c r="G10" s="594"/>
      <c r="H10" s="594"/>
      <c r="I10" s="594"/>
      <c r="J10" s="594"/>
      <c r="K10" s="594"/>
      <c r="L10" s="594"/>
      <c r="M10" s="594"/>
      <c r="N10" s="594"/>
      <c r="O10" s="594"/>
      <c r="P10" s="594"/>
      <c r="Q10" s="594"/>
      <c r="R10" s="594"/>
      <c r="S10" s="594"/>
      <c r="T10" s="594"/>
      <c r="U10" s="594"/>
      <c r="V10" s="595"/>
      <c r="W10" s="490"/>
      <c r="X10" s="12"/>
      <c r="Y10" s="12"/>
    </row>
    <row r="11" spans="1:73" ht="5.25" customHeight="1" x14ac:dyDescent="0.25">
      <c r="B11" s="116"/>
      <c r="C11" s="116"/>
      <c r="D11" s="116"/>
      <c r="E11" s="116"/>
      <c r="F11" s="445"/>
      <c r="G11" s="445"/>
      <c r="H11" s="445"/>
      <c r="I11" s="445"/>
      <c r="J11" s="445"/>
      <c r="K11" s="445"/>
      <c r="L11" s="445"/>
      <c r="M11" s="445"/>
      <c r="N11" s="445"/>
      <c r="O11" s="445"/>
      <c r="P11" s="445"/>
      <c r="Q11" s="445"/>
      <c r="R11" s="444"/>
      <c r="S11" s="444"/>
      <c r="T11" s="444"/>
      <c r="U11" s="444"/>
      <c r="V11" s="444"/>
      <c r="W11" s="444"/>
      <c r="X11" s="442"/>
      <c r="Y11" s="442"/>
    </row>
    <row r="12" spans="1:73" ht="15.75" x14ac:dyDescent="0.25">
      <c r="A12" s="553" t="s">
        <v>5</v>
      </c>
      <c r="B12" s="553"/>
      <c r="C12" s="553"/>
      <c r="D12" s="553"/>
      <c r="E12" s="75"/>
      <c r="F12" s="585">
        <v>43496</v>
      </c>
      <c r="G12" s="586"/>
      <c r="H12" s="586"/>
      <c r="I12" s="586"/>
      <c r="J12" s="586"/>
      <c r="K12" s="586"/>
      <c r="L12" s="586"/>
      <c r="M12" s="586"/>
      <c r="N12" s="586"/>
      <c r="O12" s="586"/>
      <c r="P12" s="586"/>
      <c r="Q12" s="586"/>
      <c r="R12" s="586"/>
      <c r="S12" s="586"/>
      <c r="T12" s="586"/>
      <c r="U12" s="586"/>
      <c r="V12" s="587"/>
      <c r="W12" s="457"/>
      <c r="X12" s="12"/>
      <c r="Y12" s="12"/>
    </row>
    <row r="13" spans="1:73" ht="15.75" thickBot="1" x14ac:dyDescent="0.3">
      <c r="B13" s="116"/>
      <c r="C13" s="116"/>
      <c r="D13" s="116"/>
      <c r="E13" s="116"/>
      <c r="F13" s="123"/>
      <c r="G13" s="123"/>
      <c r="H13" s="120"/>
      <c r="I13" s="120"/>
      <c r="J13" s="120"/>
      <c r="K13" s="443"/>
      <c r="L13" s="120"/>
      <c r="M13" s="443"/>
      <c r="N13" s="443"/>
      <c r="O13" s="443"/>
      <c r="P13" s="443"/>
      <c r="Q13" s="443"/>
      <c r="R13" s="443"/>
      <c r="S13" s="120"/>
      <c r="T13" s="443"/>
      <c r="X13" s="442"/>
      <c r="Y13" s="442"/>
      <c r="AH13" s="557"/>
      <c r="AI13" s="557"/>
      <c r="AJ13" s="557"/>
      <c r="AK13" s="557"/>
      <c r="AL13" s="557"/>
      <c r="AM13" s="557"/>
      <c r="AN13" s="557"/>
      <c r="AO13" s="557"/>
      <c r="AP13" s="557"/>
      <c r="AQ13" s="557"/>
      <c r="AR13" s="557"/>
      <c r="AS13" s="557"/>
      <c r="AT13" s="557"/>
      <c r="AU13" s="557"/>
      <c r="AV13" s="557"/>
      <c r="AW13" s="557"/>
      <c r="AX13" s="557"/>
      <c r="AY13" s="557"/>
      <c r="AZ13" s="557"/>
      <c r="BB13" s="557"/>
      <c r="BC13" s="557"/>
      <c r="BD13" s="557"/>
      <c r="BE13" s="557"/>
      <c r="BF13" s="557"/>
      <c r="BG13" s="557"/>
      <c r="BH13" s="557"/>
      <c r="BI13" s="557"/>
      <c r="BJ13" s="557"/>
      <c r="BK13" s="557"/>
      <c r="BL13" s="557"/>
      <c r="BM13" s="557"/>
      <c r="BN13" s="557"/>
      <c r="BO13" s="557"/>
      <c r="BP13" s="557"/>
      <c r="BQ13" s="557"/>
      <c r="BR13" s="557"/>
      <c r="BS13" s="557"/>
      <c r="BT13" s="557"/>
      <c r="BU13" s="557"/>
    </row>
    <row r="14" spans="1:73" s="17" customFormat="1" ht="15" customHeight="1" x14ac:dyDescent="0.25">
      <c r="A14" s="558" t="s">
        <v>10</v>
      </c>
      <c r="B14" s="559"/>
      <c r="C14" s="559"/>
      <c r="D14" s="559"/>
      <c r="E14" s="76"/>
      <c r="F14" s="561" t="s">
        <v>11</v>
      </c>
      <c r="G14" s="561"/>
      <c r="H14" s="561"/>
      <c r="I14" s="136"/>
      <c r="J14" s="136"/>
      <c r="K14" s="562" t="s">
        <v>12</v>
      </c>
      <c r="L14" s="558" t="s">
        <v>13</v>
      </c>
      <c r="M14" s="559"/>
      <c r="N14" s="560"/>
      <c r="O14" s="517"/>
      <c r="P14" s="565" t="s">
        <v>14</v>
      </c>
      <c r="Q14" s="565"/>
      <c r="R14" s="565"/>
      <c r="S14" s="565" t="s">
        <v>15</v>
      </c>
      <c r="T14" s="565"/>
      <c r="U14" s="565"/>
      <c r="V14" s="565"/>
      <c r="W14" s="452"/>
    </row>
    <row r="15" spans="1:73" s="17" customFormat="1" ht="14.25" customHeight="1" x14ac:dyDescent="0.25">
      <c r="A15" s="563" t="s">
        <v>16</v>
      </c>
      <c r="B15" s="563" t="s">
        <v>17</v>
      </c>
      <c r="C15" s="518"/>
      <c r="D15" s="518"/>
      <c r="E15" s="518"/>
      <c r="F15" s="543" t="s">
        <v>19</v>
      </c>
      <c r="G15" s="543"/>
      <c r="H15" s="543"/>
      <c r="I15" s="514"/>
      <c r="J15" s="514"/>
      <c r="K15" s="563"/>
      <c r="L15" s="548" t="s">
        <v>20</v>
      </c>
      <c r="M15" s="549"/>
      <c r="N15" s="550"/>
      <c r="O15" s="516"/>
      <c r="P15" s="548" t="s">
        <v>21</v>
      </c>
      <c r="Q15" s="549"/>
      <c r="R15" s="550"/>
      <c r="S15" s="543" t="s">
        <v>22</v>
      </c>
      <c r="T15" s="543" t="s">
        <v>23</v>
      </c>
      <c r="U15" s="548" t="s">
        <v>4</v>
      </c>
      <c r="V15" s="543" t="s">
        <v>24</v>
      </c>
      <c r="W15" s="285"/>
    </row>
    <row r="16" spans="1:73" s="17" customFormat="1" ht="63" customHeight="1" x14ac:dyDescent="0.25">
      <c r="A16" s="566"/>
      <c r="B16" s="566"/>
      <c r="C16" s="519" t="s">
        <v>70</v>
      </c>
      <c r="D16" s="519" t="s">
        <v>18</v>
      </c>
      <c r="E16" s="519" t="s">
        <v>71</v>
      </c>
      <c r="F16" s="514" t="s">
        <v>25</v>
      </c>
      <c r="G16" s="514" t="s">
        <v>70</v>
      </c>
      <c r="H16" s="514" t="s">
        <v>9</v>
      </c>
      <c r="I16" s="514" t="s">
        <v>70</v>
      </c>
      <c r="J16" s="514" t="s">
        <v>26</v>
      </c>
      <c r="K16" s="564"/>
      <c r="L16" s="19" t="s">
        <v>25</v>
      </c>
      <c r="M16" s="19" t="s">
        <v>9</v>
      </c>
      <c r="N16" s="519" t="s">
        <v>26</v>
      </c>
      <c r="O16" s="519" t="s">
        <v>74</v>
      </c>
      <c r="P16" s="514" t="s">
        <v>27</v>
      </c>
      <c r="Q16" s="514" t="s">
        <v>23</v>
      </c>
      <c r="R16" s="514" t="s">
        <v>28</v>
      </c>
      <c r="S16" s="543"/>
      <c r="T16" s="543"/>
      <c r="U16" s="598"/>
      <c r="V16" s="564"/>
      <c r="W16" s="285"/>
    </row>
    <row r="17" spans="1:71" ht="291.75" customHeight="1" x14ac:dyDescent="0.25">
      <c r="A17" s="345" t="s">
        <v>269</v>
      </c>
      <c r="B17" s="345" t="s">
        <v>270</v>
      </c>
      <c r="C17" s="345" t="s">
        <v>271</v>
      </c>
      <c r="D17" s="345" t="s">
        <v>272</v>
      </c>
      <c r="E17" s="475" t="s">
        <v>186</v>
      </c>
      <c r="F17" s="476">
        <v>1</v>
      </c>
      <c r="G17" s="476" t="s">
        <v>273</v>
      </c>
      <c r="H17" s="477">
        <v>5</v>
      </c>
      <c r="I17" s="477" t="s">
        <v>240</v>
      </c>
      <c r="J17" s="478" t="s">
        <v>39</v>
      </c>
      <c r="K17" s="155" t="s">
        <v>274</v>
      </c>
      <c r="L17" s="521"/>
      <c r="M17" s="522"/>
      <c r="N17" s="478"/>
      <c r="O17" s="478" t="s">
        <v>275</v>
      </c>
      <c r="P17" s="479" t="s">
        <v>63</v>
      </c>
      <c r="Q17" s="155" t="s">
        <v>276</v>
      </c>
      <c r="R17" s="520" t="s">
        <v>277</v>
      </c>
      <c r="S17" s="484"/>
      <c r="T17" s="440"/>
      <c r="U17" s="485" t="s">
        <v>268</v>
      </c>
      <c r="V17" s="459" t="s">
        <v>278</v>
      </c>
      <c r="W17" s="524"/>
      <c r="Y17" s="447"/>
      <c r="Z17" s="447"/>
      <c r="AA17" s="447"/>
      <c r="AB17" s="447"/>
      <c r="AC17" s="447"/>
      <c r="AE17" s="408"/>
      <c r="AF17" s="447"/>
      <c r="AG17" s="447"/>
      <c r="AH17" s="447"/>
      <c r="AI17" s="447"/>
      <c r="AJ17" s="447"/>
      <c r="AK17" s="408"/>
      <c r="AL17" s="447"/>
      <c r="AM17" s="447"/>
      <c r="AN17" s="447"/>
      <c r="AO17" s="447"/>
      <c r="AP17" s="447"/>
      <c r="AR17" s="408"/>
      <c r="AS17" s="447"/>
      <c r="AT17" s="447"/>
      <c r="AU17" s="447"/>
      <c r="AV17" s="447"/>
      <c r="AW17" s="447"/>
      <c r="AZ17" s="408"/>
      <c r="BA17" s="447"/>
      <c r="BB17" s="447"/>
      <c r="BC17" s="447"/>
      <c r="BD17" s="447"/>
      <c r="BE17" s="447"/>
      <c r="BG17" s="408"/>
      <c r="BH17" s="447"/>
      <c r="BI17" s="447"/>
      <c r="BJ17" s="447"/>
      <c r="BK17" s="447"/>
      <c r="BL17" s="447"/>
      <c r="BN17" s="408"/>
      <c r="BO17" s="447"/>
      <c r="BP17" s="447"/>
      <c r="BQ17" s="447"/>
      <c r="BR17" s="447"/>
      <c r="BS17" s="447"/>
    </row>
    <row r="18" spans="1:71" ht="396" customHeight="1" x14ac:dyDescent="0.25">
      <c r="A18" s="480"/>
      <c r="B18" s="154"/>
      <c r="C18" s="475"/>
      <c r="D18" s="475"/>
      <c r="E18" s="475"/>
      <c r="F18" s="476"/>
      <c r="G18" s="476"/>
      <c r="H18" s="477"/>
      <c r="I18" s="477"/>
      <c r="J18" s="478"/>
      <c r="K18" s="155"/>
      <c r="L18" s="596"/>
      <c r="M18" s="597"/>
      <c r="N18" s="478"/>
      <c r="O18" s="479"/>
      <c r="P18" s="520"/>
      <c r="Q18" s="474"/>
      <c r="R18" s="520"/>
      <c r="S18" s="512"/>
      <c r="T18" s="500"/>
      <c r="U18" s="520"/>
      <c r="V18" s="427"/>
      <c r="W18" s="500"/>
      <c r="Y18" s="447"/>
      <c r="Z18" s="447"/>
      <c r="AA18" s="447"/>
      <c r="AB18" s="447"/>
      <c r="AC18" s="447"/>
      <c r="AF18" s="447"/>
      <c r="AG18" s="447"/>
      <c r="AH18" s="447"/>
      <c r="AI18" s="447"/>
      <c r="AJ18" s="447"/>
      <c r="AL18" s="447"/>
      <c r="AM18" s="447"/>
      <c r="AN18" s="447"/>
      <c r="AO18" s="447"/>
      <c r="AP18" s="447"/>
      <c r="AS18" s="447"/>
      <c r="AT18" s="447"/>
      <c r="AU18" s="447"/>
      <c r="AV18" s="447"/>
      <c r="AW18" s="447"/>
      <c r="BA18" s="447"/>
      <c r="BB18" s="447"/>
      <c r="BC18" s="447"/>
      <c r="BD18" s="447"/>
      <c r="BE18" s="447"/>
      <c r="BH18" s="447"/>
      <c r="BI18" s="447"/>
      <c r="BJ18" s="447"/>
      <c r="BK18" s="447"/>
      <c r="BL18" s="447"/>
      <c r="BO18" s="447"/>
      <c r="BP18" s="447"/>
      <c r="BQ18" s="447"/>
      <c r="BR18" s="447"/>
      <c r="BS18" s="447"/>
    </row>
    <row r="19" spans="1:71" ht="153.75" customHeight="1" x14ac:dyDescent="0.25">
      <c r="A19" s="359"/>
      <c r="B19" s="359"/>
      <c r="C19" s="359"/>
      <c r="D19" s="359"/>
      <c r="E19" s="385"/>
      <c r="F19" s="386"/>
      <c r="G19" s="386"/>
      <c r="H19" s="387"/>
      <c r="I19" s="387"/>
      <c r="J19" s="388"/>
      <c r="K19" s="336"/>
      <c r="L19" s="599"/>
      <c r="M19" s="600"/>
      <c r="N19" s="388"/>
      <c r="O19" s="389"/>
      <c r="P19" s="520"/>
      <c r="Q19" s="350"/>
      <c r="R19" s="366"/>
      <c r="S19" s="512"/>
      <c r="T19" s="500"/>
      <c r="U19" s="497"/>
      <c r="V19" s="498"/>
      <c r="W19" s="495"/>
      <c r="Y19" s="447"/>
      <c r="Z19" s="447"/>
      <c r="AA19" s="447"/>
      <c r="AB19" s="447"/>
      <c r="AC19" s="447"/>
      <c r="AF19" s="447"/>
      <c r="AG19" s="447"/>
      <c r="AH19" s="447"/>
      <c r="AI19" s="447"/>
      <c r="AJ19" s="447"/>
      <c r="AL19" s="447"/>
      <c r="AM19" s="447"/>
      <c r="AN19" s="447"/>
      <c r="AO19" s="447"/>
      <c r="AP19" s="447"/>
      <c r="AS19" s="447"/>
      <c r="AT19" s="447"/>
      <c r="AU19" s="447"/>
      <c r="AV19" s="447"/>
      <c r="AW19" s="447"/>
      <c r="BA19" s="447"/>
      <c r="BB19" s="447"/>
      <c r="BC19" s="447"/>
      <c r="BD19" s="447"/>
      <c r="BE19" s="447"/>
      <c r="BH19" s="447"/>
      <c r="BI19" s="447"/>
      <c r="BJ19" s="447"/>
      <c r="BK19" s="447"/>
      <c r="BL19" s="447"/>
      <c r="BO19" s="447"/>
      <c r="BP19" s="447"/>
      <c r="BQ19" s="447"/>
      <c r="BR19" s="447"/>
      <c r="BS19" s="447"/>
    </row>
    <row r="20" spans="1:71" ht="153.75" customHeight="1" x14ac:dyDescent="0.25">
      <c r="A20" s="480"/>
      <c r="B20" s="154"/>
      <c r="C20" s="475"/>
      <c r="D20" s="475"/>
      <c r="E20" s="475"/>
      <c r="F20" s="476"/>
      <c r="G20" s="476"/>
      <c r="H20" s="477"/>
      <c r="I20" s="477"/>
      <c r="J20" s="478"/>
      <c r="K20" s="155"/>
      <c r="L20" s="596"/>
      <c r="M20" s="597"/>
      <c r="N20" s="478"/>
      <c r="O20" s="479"/>
      <c r="P20" s="501"/>
      <c r="Q20" s="156"/>
      <c r="R20" s="520"/>
      <c r="S20" s="512"/>
      <c r="T20" s="500"/>
      <c r="U20" s="485"/>
      <c r="V20" s="459"/>
      <c r="W20" s="496"/>
    </row>
    <row r="21" spans="1:71" x14ac:dyDescent="0.25">
      <c r="A21" s="447"/>
      <c r="B21" s="126"/>
      <c r="C21" s="81"/>
      <c r="D21" s="81"/>
      <c r="E21" s="139"/>
      <c r="V21" s="447"/>
      <c r="W21" s="442"/>
    </row>
    <row r="22" spans="1:71" ht="15" thickBot="1" x14ac:dyDescent="0.3">
      <c r="A22" s="447"/>
      <c r="B22" s="126"/>
      <c r="C22" s="126"/>
      <c r="D22" s="126"/>
      <c r="E22" s="139"/>
      <c r="H22" s="140"/>
      <c r="I22" s="140"/>
      <c r="J22" s="140"/>
    </row>
    <row r="23" spans="1:71" ht="15.75" thickBot="1" x14ac:dyDescent="0.3">
      <c r="A23" s="442"/>
      <c r="B23" s="139"/>
      <c r="C23" s="139"/>
      <c r="D23" s="139"/>
      <c r="E23" s="139"/>
      <c r="F23" s="544"/>
      <c r="G23" s="77"/>
      <c r="H23" s="546"/>
      <c r="I23" s="546"/>
      <c r="J23" s="546"/>
      <c r="K23" s="547"/>
      <c r="L23" s="441"/>
      <c r="Q23" s="118"/>
      <c r="S23" s="441"/>
    </row>
    <row r="24" spans="1:71" ht="32.25" customHeight="1" thickBot="1" x14ac:dyDescent="0.3">
      <c r="A24" s="118"/>
      <c r="B24" s="127"/>
      <c r="C24" s="127"/>
      <c r="D24" s="127"/>
      <c r="E24" s="127"/>
      <c r="F24" s="545"/>
      <c r="G24" s="515"/>
      <c r="H24" s="128"/>
      <c r="I24" s="128"/>
      <c r="J24" s="34"/>
      <c r="K24" s="128"/>
      <c r="L24" s="441"/>
      <c r="Q24" s="118"/>
      <c r="S24" s="441"/>
    </row>
    <row r="25" spans="1:71" ht="15.75" thickBot="1" x14ac:dyDescent="0.3">
      <c r="B25" s="118"/>
      <c r="C25" s="118"/>
      <c r="D25" s="118"/>
      <c r="F25" s="129"/>
      <c r="G25" s="129"/>
      <c r="H25" s="130"/>
      <c r="I25" s="130"/>
      <c r="J25" s="130"/>
      <c r="K25" s="131"/>
      <c r="L25" s="441"/>
      <c r="Q25" s="118"/>
      <c r="S25" s="441"/>
    </row>
    <row r="26" spans="1:71" ht="15.75" thickBot="1" x14ac:dyDescent="0.3">
      <c r="F26" s="129"/>
      <c r="G26" s="129"/>
      <c r="H26" s="130"/>
      <c r="I26" s="130"/>
      <c r="J26" s="131"/>
      <c r="K26" s="38"/>
      <c r="L26" s="441"/>
      <c r="Q26" s="118"/>
      <c r="S26" s="441"/>
    </row>
    <row r="27" spans="1:71" ht="15.75" thickBot="1" x14ac:dyDescent="0.3">
      <c r="F27" s="129"/>
      <c r="G27" s="129"/>
      <c r="H27" s="131"/>
      <c r="I27" s="131"/>
      <c r="J27" s="38"/>
      <c r="K27" s="39"/>
      <c r="L27" s="441"/>
      <c r="Q27" s="118"/>
      <c r="S27" s="441"/>
    </row>
    <row r="28" spans="1:71" ht="15.75" thickBot="1" x14ac:dyDescent="0.3">
      <c r="F28" s="129"/>
      <c r="G28" s="129"/>
      <c r="H28" s="131"/>
      <c r="I28" s="131"/>
      <c r="J28" s="38"/>
      <c r="K28" s="39"/>
      <c r="L28" s="441"/>
      <c r="Q28" s="118"/>
      <c r="S28" s="441"/>
    </row>
    <row r="29" spans="1:71" ht="15.75" thickBot="1" x14ac:dyDescent="0.3">
      <c r="F29" s="129"/>
      <c r="G29" s="129"/>
      <c r="H29" s="131"/>
      <c r="I29" s="131"/>
      <c r="J29" s="38"/>
      <c r="K29" s="39"/>
      <c r="L29" s="441"/>
      <c r="Q29" s="118"/>
      <c r="S29" s="441"/>
    </row>
    <row r="30" spans="1:71" x14ac:dyDescent="0.25">
      <c r="F30" s="441"/>
      <c r="G30" s="441"/>
      <c r="H30" s="441"/>
      <c r="I30" s="441"/>
      <c r="J30" s="441"/>
      <c r="K30" s="118"/>
      <c r="M30" s="118"/>
    </row>
    <row r="31" spans="1:71" ht="15" x14ac:dyDescent="0.25">
      <c r="F31" s="132"/>
      <c r="G31" s="132"/>
      <c r="H31" s="441"/>
      <c r="I31" s="441"/>
      <c r="J31" s="441"/>
      <c r="K31" s="118"/>
      <c r="M31" s="118"/>
      <c r="N31" s="118"/>
      <c r="O31" s="118"/>
      <c r="P31" s="118"/>
    </row>
    <row r="32" spans="1:71" ht="15" x14ac:dyDescent="0.25">
      <c r="F32" s="133"/>
      <c r="G32" s="133"/>
      <c r="H32" s="441"/>
      <c r="I32" s="441"/>
      <c r="J32" s="441"/>
      <c r="K32" s="118"/>
      <c r="M32" s="118"/>
      <c r="N32" s="118"/>
      <c r="O32" s="118"/>
      <c r="P32" s="118"/>
    </row>
    <row r="33" spans="6:16" s="441" customFormat="1" ht="15" x14ac:dyDescent="0.25">
      <c r="F33" s="134"/>
      <c r="G33" s="134"/>
      <c r="K33" s="118"/>
      <c r="L33" s="118"/>
      <c r="M33" s="118"/>
      <c r="N33" s="118"/>
      <c r="O33" s="118"/>
      <c r="P33" s="118"/>
    </row>
    <row r="34" spans="6:16" s="441" customFormat="1" ht="15" x14ac:dyDescent="0.25">
      <c r="F34" s="135"/>
      <c r="G34" s="135"/>
      <c r="K34" s="118"/>
      <c r="L34" s="118"/>
      <c r="M34" s="118"/>
      <c r="N34" s="118"/>
      <c r="O34" s="118"/>
      <c r="P34" s="118"/>
    </row>
  </sheetData>
  <mergeCells count="36">
    <mergeCell ref="A1:D4"/>
    <mergeCell ref="F1:T4"/>
    <mergeCell ref="U1:V1"/>
    <mergeCell ref="U2:V2"/>
    <mergeCell ref="U3:V3"/>
    <mergeCell ref="U4:V4"/>
    <mergeCell ref="A6:D6"/>
    <mergeCell ref="F6:V6"/>
    <mergeCell ref="A8:D8"/>
    <mergeCell ref="F8:V8"/>
    <mergeCell ref="A10:D10"/>
    <mergeCell ref="F10:V10"/>
    <mergeCell ref="AH13:AZ13"/>
    <mergeCell ref="BB13:BU13"/>
    <mergeCell ref="A14:D14"/>
    <mergeCell ref="F14:H14"/>
    <mergeCell ref="K14:K16"/>
    <mergeCell ref="L14:N14"/>
    <mergeCell ref="P14:R14"/>
    <mergeCell ref="S14:V14"/>
    <mergeCell ref="V15:V16"/>
    <mergeCell ref="P15:R15"/>
    <mergeCell ref="S15:S16"/>
    <mergeCell ref="A15:A16"/>
    <mergeCell ref="B15:B16"/>
    <mergeCell ref="F15:H15"/>
    <mergeCell ref="L15:N15"/>
    <mergeCell ref="A12:D12"/>
    <mergeCell ref="F12:V12"/>
    <mergeCell ref="L20:M20"/>
    <mergeCell ref="F23:F24"/>
    <mergeCell ref="H23:K23"/>
    <mergeCell ref="T15:T16"/>
    <mergeCell ref="U15:U16"/>
    <mergeCell ref="L18:M18"/>
    <mergeCell ref="L19:M19"/>
  </mergeCells>
  <conditionalFormatting sqref="J19 N19">
    <cfRule type="containsText" dxfId="79" priority="9" operator="containsText" text="E">
      <formula>NOT(ISERROR(SEARCH("E",J19)))</formula>
    </cfRule>
    <cfRule type="containsText" dxfId="78" priority="10" operator="containsText" text="M">
      <formula>NOT(ISERROR(SEARCH("M",J19)))</formula>
    </cfRule>
    <cfRule type="containsText" dxfId="77" priority="11" operator="containsText" text="A">
      <formula>NOT(ISERROR(SEARCH("A",J19)))</formula>
    </cfRule>
    <cfRule type="containsText" dxfId="76" priority="12" operator="containsText" text="B">
      <formula>NOT(ISERROR(SEARCH("B",J19)))</formula>
    </cfRule>
  </conditionalFormatting>
  <conditionalFormatting sqref="O17">
    <cfRule type="containsText" dxfId="75" priority="1" operator="containsText" text="E">
      <formula>NOT(ISERROR(SEARCH("E",O17)))</formula>
    </cfRule>
    <cfRule type="containsText" dxfId="74" priority="2" operator="containsText" text="M">
      <formula>NOT(ISERROR(SEARCH("M",O17)))</formula>
    </cfRule>
    <cfRule type="containsText" dxfId="73" priority="3" operator="containsText" text="A">
      <formula>NOT(ISERROR(SEARCH("A",O17)))</formula>
    </cfRule>
    <cfRule type="containsText" dxfId="72" priority="4" operator="containsText" text="B">
      <formula>NOT(ISERROR(SEARCH("B",O17)))</formula>
    </cfRule>
  </conditionalFormatting>
  <dataValidations count="1">
    <dataValidation type="list" allowBlank="1" showInputMessage="1" showErrorMessage="1" sqref="L17:N17">
      <formula1>#REF!</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31"/>
  <sheetViews>
    <sheetView showGridLines="0" view="pageBreakPreview" topLeftCell="K1" zoomScaleNormal="60" zoomScaleSheetLayoutView="100" workbookViewId="0">
      <pane xSplit="28365" topLeftCell="W1"/>
      <selection activeCell="N21" sqref="N21"/>
      <selection pane="topRight" activeCell="W1" sqref="W1"/>
    </sheetView>
  </sheetViews>
  <sheetFormatPr baseColWidth="10" defaultColWidth="11.42578125" defaultRowHeight="14.25" x14ac:dyDescent="0.25"/>
  <cols>
    <col min="1" max="1" width="41.28515625" style="2" customWidth="1"/>
    <col min="2" max="5" width="40.42578125" style="2" customWidth="1"/>
    <col min="6" max="7" width="27" style="5" customWidth="1"/>
    <col min="8" max="9" width="19" style="5" customWidth="1"/>
    <col min="10" max="10" width="26.7109375" style="5" customWidth="1"/>
    <col min="11" max="12" width="29.7109375" style="2" customWidth="1"/>
    <col min="13" max="13" width="17.7109375" style="5" customWidth="1"/>
    <col min="14" max="15" width="30" style="2" customWidth="1"/>
    <col min="16" max="16" width="36.28515625" style="2" customWidth="1"/>
    <col min="17" max="17" width="27.42578125" style="2" customWidth="1"/>
    <col min="18" max="18" width="19.85546875" style="2" customWidth="1"/>
    <col min="19" max="19" width="36.42578125" style="5" customWidth="1"/>
    <col min="20" max="20" width="45.7109375" style="2" customWidth="1"/>
    <col min="21" max="21" width="30.42578125" style="2" customWidth="1"/>
    <col min="22" max="22" width="42.85546875" style="2" customWidth="1"/>
    <col min="23" max="23" width="18.85546875" style="441" customWidth="1"/>
    <col min="24" max="24" width="30.42578125" style="2" customWidth="1"/>
    <col min="25" max="25" width="36" style="2" hidden="1" customWidth="1"/>
    <col min="26" max="74" width="11.42578125" style="2" hidden="1" customWidth="1"/>
    <col min="75" max="16384" width="11.42578125" style="2"/>
  </cols>
  <sheetData>
    <row r="1" spans="1:73" ht="21" customHeight="1" x14ac:dyDescent="0.25">
      <c r="A1" s="573"/>
      <c r="B1" s="573"/>
      <c r="C1" s="573"/>
      <c r="D1" s="573"/>
      <c r="E1" s="72"/>
      <c r="F1" s="574" t="s">
        <v>0</v>
      </c>
      <c r="G1" s="575"/>
      <c r="H1" s="575"/>
      <c r="I1" s="575"/>
      <c r="J1" s="575"/>
      <c r="K1" s="575"/>
      <c r="L1" s="575"/>
      <c r="M1" s="575"/>
      <c r="N1" s="575"/>
      <c r="O1" s="575"/>
      <c r="P1" s="575"/>
      <c r="Q1" s="575"/>
      <c r="R1" s="575"/>
      <c r="S1" s="575"/>
      <c r="T1" s="576"/>
      <c r="U1" s="583" t="s">
        <v>223</v>
      </c>
      <c r="V1" s="584"/>
      <c r="W1" s="450"/>
      <c r="X1" s="1"/>
      <c r="Y1" s="1"/>
    </row>
    <row r="2" spans="1:73" ht="22.5" customHeight="1" x14ac:dyDescent="0.25">
      <c r="A2" s="573"/>
      <c r="B2" s="573"/>
      <c r="C2" s="573"/>
      <c r="D2" s="573"/>
      <c r="E2" s="73"/>
      <c r="F2" s="577"/>
      <c r="G2" s="578"/>
      <c r="H2" s="578"/>
      <c r="I2" s="578"/>
      <c r="J2" s="578"/>
      <c r="K2" s="578"/>
      <c r="L2" s="578"/>
      <c r="M2" s="578"/>
      <c r="N2" s="578"/>
      <c r="O2" s="578"/>
      <c r="P2" s="578"/>
      <c r="Q2" s="578"/>
      <c r="R2" s="578"/>
      <c r="S2" s="578"/>
      <c r="T2" s="579"/>
      <c r="U2" s="583" t="s">
        <v>149</v>
      </c>
      <c r="V2" s="584"/>
      <c r="W2" s="450"/>
      <c r="X2" s="1"/>
      <c r="Y2" s="1"/>
    </row>
    <row r="3" spans="1:73" ht="21" customHeight="1" x14ac:dyDescent="0.25">
      <c r="A3" s="573"/>
      <c r="B3" s="573"/>
      <c r="C3" s="573"/>
      <c r="D3" s="573"/>
      <c r="E3" s="73"/>
      <c r="F3" s="577"/>
      <c r="G3" s="578"/>
      <c r="H3" s="578"/>
      <c r="I3" s="578"/>
      <c r="J3" s="578"/>
      <c r="K3" s="578"/>
      <c r="L3" s="578"/>
      <c r="M3" s="578"/>
      <c r="N3" s="578"/>
      <c r="O3" s="578"/>
      <c r="P3" s="578"/>
      <c r="Q3" s="578"/>
      <c r="R3" s="578"/>
      <c r="S3" s="578"/>
      <c r="T3" s="579"/>
      <c r="U3" s="583" t="s">
        <v>150</v>
      </c>
      <c r="V3" s="584"/>
      <c r="W3" s="450"/>
      <c r="X3" s="1"/>
      <c r="Y3" s="1"/>
    </row>
    <row r="4" spans="1:73" ht="20.25" customHeight="1" x14ac:dyDescent="0.25">
      <c r="A4" s="573"/>
      <c r="B4" s="573"/>
      <c r="C4" s="573"/>
      <c r="D4" s="573"/>
      <c r="E4" s="74"/>
      <c r="F4" s="580"/>
      <c r="G4" s="581"/>
      <c r="H4" s="581"/>
      <c r="I4" s="581"/>
      <c r="J4" s="581"/>
      <c r="K4" s="581"/>
      <c r="L4" s="581"/>
      <c r="M4" s="581"/>
      <c r="N4" s="581"/>
      <c r="O4" s="581"/>
      <c r="P4" s="581"/>
      <c r="Q4" s="581"/>
      <c r="R4" s="581"/>
      <c r="S4" s="581"/>
      <c r="T4" s="582"/>
      <c r="U4" s="583" t="s">
        <v>1</v>
      </c>
      <c r="V4" s="584"/>
      <c r="W4" s="450"/>
      <c r="X4" s="1"/>
      <c r="Y4" s="1"/>
    </row>
    <row r="5" spans="1:73" ht="8.25" customHeight="1" x14ac:dyDescent="0.25">
      <c r="B5" s="3"/>
      <c r="C5" s="3"/>
      <c r="D5" s="3"/>
      <c r="E5" s="3"/>
      <c r="F5" s="4"/>
      <c r="G5" s="4"/>
      <c r="H5" s="4"/>
      <c r="I5" s="4"/>
      <c r="J5" s="4"/>
      <c r="K5" s="4"/>
      <c r="L5" s="4"/>
      <c r="M5" s="4"/>
      <c r="N5" s="4"/>
      <c r="O5" s="4"/>
      <c r="P5" s="4"/>
      <c r="Q5" s="4"/>
      <c r="X5" s="6"/>
      <c r="Y5" s="6"/>
    </row>
    <row r="6" spans="1:73" ht="15" x14ac:dyDescent="0.25">
      <c r="A6" s="553" t="s">
        <v>2</v>
      </c>
      <c r="B6" s="553"/>
      <c r="C6" s="553"/>
      <c r="D6" s="553"/>
      <c r="E6" s="75"/>
      <c r="F6" s="567" t="str">
        <f>[7]IdentRiesgo!B2</f>
        <v xml:space="preserve">Gestión Jurídica y Contractual </v>
      </c>
      <c r="G6" s="568"/>
      <c r="H6" s="568"/>
      <c r="I6" s="568"/>
      <c r="J6" s="568"/>
      <c r="K6" s="568"/>
      <c r="L6" s="568"/>
      <c r="M6" s="568"/>
      <c r="N6" s="568"/>
      <c r="O6" s="568"/>
      <c r="P6" s="568"/>
      <c r="Q6" s="568"/>
      <c r="R6" s="568"/>
      <c r="S6" s="568"/>
      <c r="T6" s="568"/>
      <c r="U6" s="568"/>
      <c r="V6" s="569"/>
      <c r="W6" s="445"/>
      <c r="X6" s="6"/>
      <c r="Y6" s="6"/>
    </row>
    <row r="7" spans="1:73" ht="6.75" customHeight="1" x14ac:dyDescent="0.25">
      <c r="B7" s="3"/>
      <c r="C7" s="3"/>
      <c r="D7" s="3"/>
      <c r="E7" s="3"/>
      <c r="F7" s="7"/>
      <c r="G7" s="7"/>
      <c r="H7" s="7"/>
      <c r="I7" s="7"/>
      <c r="J7" s="7"/>
      <c r="K7" s="7"/>
      <c r="L7" s="7"/>
      <c r="M7" s="7"/>
      <c r="N7" s="7"/>
      <c r="O7" s="7"/>
      <c r="P7" s="7"/>
      <c r="Q7" s="7"/>
      <c r="R7" s="8"/>
      <c r="S7" s="8"/>
      <c r="T7" s="8"/>
      <c r="U7" s="8"/>
      <c r="V7" s="8"/>
      <c r="W7" s="444"/>
      <c r="X7" s="6"/>
      <c r="Y7" s="6"/>
    </row>
    <row r="8" spans="1:73" ht="39.75" customHeight="1" x14ac:dyDescent="0.25">
      <c r="A8" s="553" t="s">
        <v>3</v>
      </c>
      <c r="B8" s="553"/>
      <c r="C8" s="553"/>
      <c r="D8" s="553"/>
      <c r="E8" s="75"/>
      <c r="F8" s="570" t="str">
        <f>[7]IdentRiesgo!B3</f>
        <v>Asesorar a las diferentes dependencias del Instituto en temas de carácter contractual en sus diferentes etapas (precontractual, contractual y postcontractual), verificando que las mismas se ajustan a la normatividad vigente.</v>
      </c>
      <c r="G8" s="571"/>
      <c r="H8" s="571"/>
      <c r="I8" s="571"/>
      <c r="J8" s="571"/>
      <c r="K8" s="571"/>
      <c r="L8" s="571"/>
      <c r="M8" s="571"/>
      <c r="N8" s="571"/>
      <c r="O8" s="571"/>
      <c r="P8" s="571"/>
      <c r="Q8" s="571"/>
      <c r="R8" s="571"/>
      <c r="S8" s="571"/>
      <c r="T8" s="571"/>
      <c r="U8" s="571"/>
      <c r="V8" s="572"/>
      <c r="W8" s="451"/>
      <c r="X8" s="9"/>
      <c r="Y8" s="9"/>
    </row>
    <row r="9" spans="1:73" ht="6.75" customHeight="1" x14ac:dyDescent="0.25">
      <c r="B9" s="10"/>
      <c r="C9" s="10"/>
      <c r="D9" s="10"/>
      <c r="E9" s="10"/>
      <c r="F9" s="11"/>
      <c r="G9" s="11"/>
      <c r="H9" s="11"/>
      <c r="I9" s="11"/>
      <c r="J9" s="11"/>
      <c r="K9" s="11"/>
      <c r="L9" s="11"/>
      <c r="M9" s="11"/>
      <c r="N9" s="11"/>
      <c r="O9" s="11"/>
      <c r="P9" s="11"/>
      <c r="Q9" s="11"/>
      <c r="R9" s="8"/>
      <c r="S9" s="8"/>
      <c r="T9" s="8"/>
      <c r="U9" s="8"/>
      <c r="V9" s="8"/>
      <c r="W9" s="444"/>
      <c r="X9" s="6"/>
      <c r="Y9" s="6"/>
    </row>
    <row r="10" spans="1:73" ht="15" x14ac:dyDescent="0.25">
      <c r="A10" s="553" t="s">
        <v>4</v>
      </c>
      <c r="B10" s="553"/>
      <c r="C10" s="553"/>
      <c r="D10" s="553"/>
      <c r="E10" s="75"/>
      <c r="F10" s="554" t="s">
        <v>51</v>
      </c>
      <c r="G10" s="555"/>
      <c r="H10" s="555"/>
      <c r="I10" s="555"/>
      <c r="J10" s="555"/>
      <c r="K10" s="555"/>
      <c r="L10" s="555"/>
      <c r="M10" s="555"/>
      <c r="N10" s="555"/>
      <c r="O10" s="555"/>
      <c r="P10" s="555"/>
      <c r="Q10" s="555"/>
      <c r="R10" s="555"/>
      <c r="S10" s="555"/>
      <c r="T10" s="555"/>
      <c r="U10" s="555"/>
      <c r="V10" s="556"/>
      <c r="W10" s="443"/>
      <c r="X10" s="12"/>
      <c r="Y10" s="12"/>
    </row>
    <row r="11" spans="1:73" ht="5.25" customHeight="1" x14ac:dyDescent="0.25">
      <c r="B11" s="3"/>
      <c r="C11" s="3"/>
      <c r="D11" s="3"/>
      <c r="E11" s="3"/>
      <c r="F11" s="13"/>
      <c r="G11" s="13"/>
      <c r="H11" s="13"/>
      <c r="I11" s="13"/>
      <c r="J11" s="13"/>
      <c r="K11" s="13"/>
      <c r="L11" s="13"/>
      <c r="M11" s="13"/>
      <c r="N11" s="13"/>
      <c r="O11" s="13"/>
      <c r="P11" s="13"/>
      <c r="Q11" s="13"/>
      <c r="R11" s="8"/>
      <c r="S11" s="8"/>
      <c r="T11" s="8"/>
      <c r="U11" s="8"/>
      <c r="V11" s="8"/>
      <c r="W11" s="444"/>
      <c r="X11" s="6"/>
      <c r="Y11" s="6"/>
    </row>
    <row r="12" spans="1:73" ht="15" x14ac:dyDescent="0.25">
      <c r="A12" s="553" t="s">
        <v>5</v>
      </c>
      <c r="B12" s="553"/>
      <c r="C12" s="553"/>
      <c r="D12" s="553"/>
      <c r="E12" s="75"/>
      <c r="F12" s="554" t="s">
        <v>300</v>
      </c>
      <c r="G12" s="555"/>
      <c r="H12" s="555"/>
      <c r="I12" s="555"/>
      <c r="J12" s="555"/>
      <c r="K12" s="555"/>
      <c r="L12" s="555"/>
      <c r="M12" s="555"/>
      <c r="N12" s="555"/>
      <c r="O12" s="555"/>
      <c r="P12" s="555"/>
      <c r="Q12" s="555"/>
      <c r="R12" s="555"/>
      <c r="S12" s="555"/>
      <c r="T12" s="555"/>
      <c r="U12" s="555"/>
      <c r="V12" s="555"/>
      <c r="W12" s="555"/>
      <c r="X12" s="556"/>
      <c r="Y12" s="12"/>
      <c r="AB12" s="2" t="s">
        <v>6</v>
      </c>
    </row>
    <row r="13" spans="1:73" ht="15.75" thickBot="1" x14ac:dyDescent="0.3">
      <c r="B13" s="3"/>
      <c r="C13" s="3"/>
      <c r="D13" s="3"/>
      <c r="E13" s="3"/>
      <c r="F13" s="14"/>
      <c r="G13" s="14"/>
      <c r="H13" s="15"/>
      <c r="I13" s="15"/>
      <c r="J13" s="15"/>
      <c r="K13" s="7"/>
      <c r="L13" s="7"/>
      <c r="M13" s="15"/>
      <c r="N13" s="7"/>
      <c r="O13" s="7"/>
      <c r="P13" s="7"/>
      <c r="Q13" s="7"/>
      <c r="R13" s="7"/>
      <c r="S13" s="15"/>
      <c r="T13" s="7"/>
      <c r="X13" s="6"/>
      <c r="Y13" s="6"/>
      <c r="AB13" s="2" t="s">
        <v>7</v>
      </c>
      <c r="AH13" s="557" t="s">
        <v>8</v>
      </c>
      <c r="AI13" s="557"/>
      <c r="AJ13" s="557"/>
      <c r="AK13" s="557"/>
      <c r="AL13" s="557"/>
      <c r="AM13" s="557"/>
      <c r="AN13" s="557"/>
      <c r="AO13" s="557"/>
      <c r="AP13" s="557"/>
      <c r="AQ13" s="557"/>
      <c r="AR13" s="557"/>
      <c r="AS13" s="557"/>
      <c r="AT13" s="557"/>
      <c r="AU13" s="557"/>
      <c r="AV13" s="557"/>
      <c r="AW13" s="557"/>
      <c r="AX13" s="557"/>
      <c r="AY13" s="557"/>
      <c r="AZ13" s="557"/>
      <c r="BB13" s="557" t="s">
        <v>9</v>
      </c>
      <c r="BC13" s="557"/>
      <c r="BD13" s="557"/>
      <c r="BE13" s="557"/>
      <c r="BF13" s="557"/>
      <c r="BG13" s="557"/>
      <c r="BH13" s="557"/>
      <c r="BI13" s="557"/>
      <c r="BJ13" s="557"/>
      <c r="BK13" s="557"/>
      <c r="BL13" s="557"/>
      <c r="BM13" s="557"/>
      <c r="BN13" s="557"/>
      <c r="BO13" s="557"/>
      <c r="BP13" s="557"/>
      <c r="BQ13" s="557"/>
      <c r="BR13" s="557"/>
      <c r="BS13" s="557"/>
      <c r="BT13" s="557"/>
      <c r="BU13" s="557"/>
    </row>
    <row r="14" spans="1:73" s="17" customFormat="1" ht="15" customHeight="1" x14ac:dyDescent="0.25">
      <c r="A14" s="558" t="s">
        <v>10</v>
      </c>
      <c r="B14" s="559"/>
      <c r="C14" s="559"/>
      <c r="D14" s="560"/>
      <c r="E14" s="76"/>
      <c r="F14" s="561" t="s">
        <v>11</v>
      </c>
      <c r="G14" s="561"/>
      <c r="H14" s="561"/>
      <c r="I14" s="16"/>
      <c r="J14" s="16"/>
      <c r="K14" s="562" t="s">
        <v>12</v>
      </c>
      <c r="L14" s="80"/>
      <c r="M14" s="558" t="s">
        <v>13</v>
      </c>
      <c r="N14" s="560"/>
      <c r="O14" s="93"/>
      <c r="P14" s="565" t="s">
        <v>14</v>
      </c>
      <c r="Q14" s="565"/>
      <c r="R14" s="565"/>
      <c r="S14" s="565" t="s">
        <v>15</v>
      </c>
      <c r="T14" s="565"/>
      <c r="U14" s="565"/>
      <c r="V14" s="561"/>
      <c r="W14" s="452"/>
    </row>
    <row r="15" spans="1:73" s="17" customFormat="1" ht="14.25" customHeight="1" x14ac:dyDescent="0.25">
      <c r="A15" s="563" t="s">
        <v>16</v>
      </c>
      <c r="B15" s="563" t="s">
        <v>17</v>
      </c>
      <c r="C15" s="94"/>
      <c r="D15" s="563" t="s">
        <v>18</v>
      </c>
      <c r="E15" s="94"/>
      <c r="F15" s="543" t="s">
        <v>19</v>
      </c>
      <c r="G15" s="543"/>
      <c r="H15" s="543"/>
      <c r="I15" s="97"/>
      <c r="J15" s="18"/>
      <c r="K15" s="563"/>
      <c r="L15" s="79"/>
      <c r="M15" s="548" t="s">
        <v>20</v>
      </c>
      <c r="N15" s="550"/>
      <c r="O15" s="98"/>
      <c r="P15" s="548" t="s">
        <v>21</v>
      </c>
      <c r="Q15" s="549"/>
      <c r="R15" s="550"/>
      <c r="S15" s="543" t="s">
        <v>22</v>
      </c>
      <c r="T15" s="543" t="s">
        <v>23</v>
      </c>
      <c r="U15" s="543" t="s">
        <v>4</v>
      </c>
      <c r="V15" s="543" t="s">
        <v>24</v>
      </c>
      <c r="W15" s="468"/>
    </row>
    <row r="16" spans="1:73" s="17" customFormat="1" ht="63" customHeight="1" x14ac:dyDescent="0.25">
      <c r="A16" s="566"/>
      <c r="B16" s="566"/>
      <c r="C16" s="96" t="s">
        <v>70</v>
      </c>
      <c r="D16" s="566"/>
      <c r="E16" s="96" t="s">
        <v>71</v>
      </c>
      <c r="F16" s="18" t="s">
        <v>25</v>
      </c>
      <c r="G16" s="97" t="s">
        <v>70</v>
      </c>
      <c r="H16" s="18" t="s">
        <v>9</v>
      </c>
      <c r="I16" s="97" t="s">
        <v>70</v>
      </c>
      <c r="J16" s="18" t="s">
        <v>26</v>
      </c>
      <c r="K16" s="564"/>
      <c r="L16" s="95" t="s">
        <v>72</v>
      </c>
      <c r="M16" s="19" t="s">
        <v>25</v>
      </c>
      <c r="N16" s="20" t="s">
        <v>26</v>
      </c>
      <c r="O16" s="96" t="s">
        <v>74</v>
      </c>
      <c r="P16" s="18" t="s">
        <v>27</v>
      </c>
      <c r="Q16" s="18" t="s">
        <v>23</v>
      </c>
      <c r="R16" s="18" t="s">
        <v>28</v>
      </c>
      <c r="S16" s="543"/>
      <c r="T16" s="543"/>
      <c r="U16" s="543"/>
      <c r="V16" s="543"/>
      <c r="W16" s="468"/>
    </row>
    <row r="17" spans="1:23" ht="174.75" customHeight="1" x14ac:dyDescent="0.25">
      <c r="A17" s="338" t="s">
        <v>91</v>
      </c>
      <c r="B17" s="340" t="s">
        <v>92</v>
      </c>
      <c r="C17" s="340" t="s">
        <v>93</v>
      </c>
      <c r="D17" s="340" t="s">
        <v>94</v>
      </c>
      <c r="E17" s="340" t="s">
        <v>186</v>
      </c>
      <c r="F17" s="341">
        <v>2</v>
      </c>
      <c r="G17" s="341" t="s">
        <v>88</v>
      </c>
      <c r="H17" s="342">
        <v>20</v>
      </c>
      <c r="I17" s="342" t="s">
        <v>84</v>
      </c>
      <c r="J17" s="343" t="s">
        <v>42</v>
      </c>
      <c r="K17" s="155" t="s">
        <v>95</v>
      </c>
      <c r="L17" s="596" t="s">
        <v>25</v>
      </c>
      <c r="M17" s="597"/>
      <c r="N17" s="343" t="s">
        <v>40</v>
      </c>
      <c r="O17" s="337" t="s">
        <v>85</v>
      </c>
      <c r="P17" s="344" t="s">
        <v>63</v>
      </c>
      <c r="Q17" s="472" t="s">
        <v>237</v>
      </c>
      <c r="R17" s="460" t="s">
        <v>238</v>
      </c>
      <c r="S17" s="458"/>
      <c r="T17" s="472"/>
      <c r="U17" s="347" t="s">
        <v>208</v>
      </c>
      <c r="V17" s="427" t="s">
        <v>239</v>
      </c>
      <c r="W17" s="473"/>
    </row>
    <row r="18" spans="1:23" x14ac:dyDescent="0.25">
      <c r="A18" s="26"/>
      <c r="B18" s="28"/>
      <c r="C18" s="28"/>
      <c r="D18" s="81"/>
      <c r="E18" s="31"/>
    </row>
    <row r="19" spans="1:23" ht="15" thickBot="1" x14ac:dyDescent="0.3">
      <c r="A19" s="26"/>
      <c r="B19" s="28"/>
      <c r="C19" s="28"/>
      <c r="D19" s="28"/>
      <c r="E19" s="31"/>
      <c r="H19" s="30"/>
      <c r="I19" s="30"/>
      <c r="J19" s="30"/>
    </row>
    <row r="20" spans="1:23" ht="15.75" thickBot="1" x14ac:dyDescent="0.3">
      <c r="A20" s="6"/>
      <c r="B20" s="31"/>
      <c r="C20" s="31"/>
      <c r="D20" s="31"/>
      <c r="E20" s="31"/>
      <c r="F20" s="544" t="s">
        <v>25</v>
      </c>
      <c r="G20" s="77"/>
      <c r="H20" s="546" t="s">
        <v>9</v>
      </c>
      <c r="I20" s="546"/>
      <c r="J20" s="546"/>
      <c r="K20" s="547"/>
      <c r="L20" s="82"/>
      <c r="M20" s="2"/>
      <c r="Q20" s="5"/>
      <c r="S20" s="2"/>
    </row>
    <row r="21" spans="1:23" ht="32.25" customHeight="1" thickBot="1" x14ac:dyDescent="0.3">
      <c r="A21" s="5"/>
      <c r="B21" s="32" t="s">
        <v>33</v>
      </c>
      <c r="C21" s="32"/>
      <c r="D21" s="32"/>
      <c r="E21" s="32"/>
      <c r="F21" s="545"/>
      <c r="G21" s="99"/>
      <c r="H21" s="33" t="s">
        <v>34</v>
      </c>
      <c r="I21" s="33"/>
      <c r="J21" s="34" t="s">
        <v>35</v>
      </c>
      <c r="K21" s="33" t="s">
        <v>36</v>
      </c>
      <c r="L21" s="83"/>
      <c r="M21" s="2"/>
      <c r="Q21" s="5"/>
      <c r="S21" s="2"/>
    </row>
    <row r="22" spans="1:23" ht="15.75" thickBot="1" x14ac:dyDescent="0.3">
      <c r="B22" s="5" t="s">
        <v>37</v>
      </c>
      <c r="C22" s="5"/>
      <c r="F22" s="35" t="s">
        <v>38</v>
      </c>
      <c r="G22" s="35"/>
      <c r="H22" s="36" t="s">
        <v>39</v>
      </c>
      <c r="I22" s="36"/>
      <c r="J22" s="36" t="s">
        <v>39</v>
      </c>
      <c r="K22" s="37" t="s">
        <v>40</v>
      </c>
      <c r="L22" s="84"/>
      <c r="M22" s="2"/>
      <c r="Q22" s="5"/>
      <c r="S22" s="2"/>
    </row>
    <row r="23" spans="1:23" ht="15.75" thickBot="1" x14ac:dyDescent="0.3">
      <c r="F23" s="35" t="s">
        <v>41</v>
      </c>
      <c r="G23" s="35"/>
      <c r="H23" s="36" t="s">
        <v>39</v>
      </c>
      <c r="I23" s="36"/>
      <c r="J23" s="37" t="s">
        <v>40</v>
      </c>
      <c r="K23" s="38" t="s">
        <v>42</v>
      </c>
      <c r="L23" s="85"/>
      <c r="M23" s="2"/>
      <c r="Q23" s="5"/>
      <c r="S23" s="2"/>
    </row>
    <row r="24" spans="1:23" ht="15.75" thickBot="1" x14ac:dyDescent="0.3">
      <c r="F24" s="35" t="s">
        <v>43</v>
      </c>
      <c r="G24" s="35"/>
      <c r="H24" s="37" t="s">
        <v>40</v>
      </c>
      <c r="I24" s="37"/>
      <c r="J24" s="38" t="s">
        <v>42</v>
      </c>
      <c r="K24" s="39" t="s">
        <v>44</v>
      </c>
      <c r="L24" s="86"/>
      <c r="M24" s="2"/>
      <c r="Q24" s="5"/>
      <c r="S24" s="2"/>
    </row>
    <row r="25" spans="1:23" ht="15.75" thickBot="1" x14ac:dyDescent="0.3">
      <c r="F25" s="35" t="s">
        <v>45</v>
      </c>
      <c r="G25" s="35"/>
      <c r="H25" s="37" t="s">
        <v>40</v>
      </c>
      <c r="I25" s="37"/>
      <c r="J25" s="38" t="s">
        <v>42</v>
      </c>
      <c r="K25" s="39" t="s">
        <v>44</v>
      </c>
      <c r="L25" s="86"/>
      <c r="M25" s="2"/>
      <c r="Q25" s="5"/>
      <c r="S25" s="2"/>
    </row>
    <row r="26" spans="1:23" ht="15.75" thickBot="1" x14ac:dyDescent="0.3">
      <c r="F26" s="35" t="s">
        <v>46</v>
      </c>
      <c r="G26" s="35"/>
      <c r="H26" s="37" t="s">
        <v>40</v>
      </c>
      <c r="I26" s="37"/>
      <c r="J26" s="38" t="s">
        <v>42</v>
      </c>
      <c r="K26" s="39" t="s">
        <v>44</v>
      </c>
      <c r="L26" s="86"/>
      <c r="M26" s="2"/>
      <c r="Q26" s="5"/>
      <c r="S26" s="2"/>
    </row>
    <row r="27" spans="1:23" x14ac:dyDescent="0.25">
      <c r="F27" s="2"/>
      <c r="G27" s="2"/>
      <c r="H27" s="2"/>
      <c r="I27" s="2"/>
      <c r="J27" s="2"/>
      <c r="K27" s="5"/>
      <c r="L27" s="5"/>
    </row>
    <row r="28" spans="1:23" ht="15" x14ac:dyDescent="0.25">
      <c r="F28" s="40" t="s">
        <v>47</v>
      </c>
      <c r="G28" s="40"/>
      <c r="H28" s="2"/>
      <c r="I28" s="2"/>
      <c r="J28" s="2"/>
      <c r="K28" s="5"/>
      <c r="L28" s="5"/>
      <c r="N28" s="5"/>
      <c r="O28" s="5"/>
      <c r="P28" s="5"/>
    </row>
    <row r="29" spans="1:23" ht="15" x14ac:dyDescent="0.25">
      <c r="F29" s="41" t="s">
        <v>48</v>
      </c>
      <c r="G29" s="41"/>
      <c r="H29" s="2"/>
      <c r="I29" s="2"/>
      <c r="J29" s="2"/>
      <c r="K29" s="5"/>
      <c r="L29" s="5"/>
      <c r="N29" s="5"/>
      <c r="O29" s="5"/>
      <c r="P29" s="5"/>
    </row>
    <row r="30" spans="1:23" ht="15" x14ac:dyDescent="0.25">
      <c r="F30" s="42" t="s">
        <v>49</v>
      </c>
      <c r="G30" s="42"/>
      <c r="H30" s="2"/>
      <c r="I30" s="2"/>
      <c r="J30" s="2"/>
      <c r="K30" s="5"/>
      <c r="L30" s="5"/>
      <c r="N30" s="5"/>
      <c r="O30" s="5"/>
      <c r="P30" s="5"/>
    </row>
    <row r="31" spans="1:23" ht="15" x14ac:dyDescent="0.25">
      <c r="F31" s="43" t="s">
        <v>50</v>
      </c>
      <c r="G31" s="43"/>
      <c r="H31" s="2"/>
      <c r="I31" s="2"/>
      <c r="J31" s="2"/>
      <c r="K31" s="5"/>
      <c r="L31" s="5"/>
      <c r="N31" s="5"/>
      <c r="O31" s="5"/>
      <c r="P31" s="5"/>
    </row>
  </sheetData>
  <mergeCells count="35">
    <mergeCell ref="T15:T16"/>
    <mergeCell ref="U15:U16"/>
    <mergeCell ref="V15:V16"/>
    <mergeCell ref="F20:F21"/>
    <mergeCell ref="H20:K20"/>
    <mergeCell ref="P15:R15"/>
    <mergeCell ref="L17:M17"/>
    <mergeCell ref="A12:D12"/>
    <mergeCell ref="AH13:AZ13"/>
    <mergeCell ref="BB13:BU13"/>
    <mergeCell ref="A14:D14"/>
    <mergeCell ref="F14:H14"/>
    <mergeCell ref="K14:K16"/>
    <mergeCell ref="M14:N14"/>
    <mergeCell ref="P14:R14"/>
    <mergeCell ref="S14:V14"/>
    <mergeCell ref="A15:A16"/>
    <mergeCell ref="B15:B16"/>
    <mergeCell ref="D15:D16"/>
    <mergeCell ref="F15:H15"/>
    <mergeCell ref="M15:N15"/>
    <mergeCell ref="S15:S16"/>
    <mergeCell ref="F12:X12"/>
    <mergeCell ref="A6:D6"/>
    <mergeCell ref="F6:V6"/>
    <mergeCell ref="A8:D8"/>
    <mergeCell ref="F8:V8"/>
    <mergeCell ref="A10:D10"/>
    <mergeCell ref="F10:V10"/>
    <mergeCell ref="A1:D4"/>
    <mergeCell ref="F1:T4"/>
    <mergeCell ref="U1:V1"/>
    <mergeCell ref="U2:V2"/>
    <mergeCell ref="U3:V3"/>
    <mergeCell ref="U4:V4"/>
  </mergeCells>
  <dataValidations count="1">
    <dataValidation type="list" allowBlank="1" showInputMessage="1" showErrorMessage="1" sqref="M17:O17">
      <formula1>#REF!</formula1>
    </dataValidation>
  </dataValidations>
  <pageMargins left="0.7" right="0.7" top="0.75" bottom="0.75" header="0.3" footer="0.3"/>
  <pageSetup scale="1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32"/>
  <sheetViews>
    <sheetView showGridLines="0" view="pageBreakPreview" topLeftCell="F9" zoomScaleNormal="55" zoomScaleSheetLayoutView="100" workbookViewId="0">
      <selection activeCell="W17" sqref="W17"/>
    </sheetView>
  </sheetViews>
  <sheetFormatPr baseColWidth="10" defaultColWidth="11.42578125" defaultRowHeight="14.25" x14ac:dyDescent="0.25"/>
  <cols>
    <col min="1" max="1" width="34.7109375" style="2" customWidth="1"/>
    <col min="2" max="3" width="25.5703125" style="2" customWidth="1"/>
    <col min="4" max="5" width="19.7109375" style="2" customWidth="1"/>
    <col min="6" max="7" width="27" style="5" customWidth="1"/>
    <col min="8" max="9" width="19" style="5" customWidth="1"/>
    <col min="10" max="10" width="26.7109375" style="5" customWidth="1"/>
    <col min="11" max="12" width="29.7109375" style="2" customWidth="1"/>
    <col min="13" max="13" width="21.5703125" style="5" customWidth="1"/>
    <col min="14" max="14" width="18.5703125" style="2" customWidth="1"/>
    <col min="15" max="16" width="21.7109375" style="2" customWidth="1"/>
    <col min="17" max="17" width="19.85546875" style="2" customWidth="1"/>
    <col min="18" max="18" width="44.140625" style="2" customWidth="1"/>
    <col min="19" max="19" width="40.5703125" style="2" customWidth="1"/>
    <col min="20" max="20" width="22.42578125" style="5" customWidth="1"/>
    <col min="21" max="21" width="72.5703125" style="2" customWidth="1"/>
    <col min="22" max="22" width="30.42578125" style="2" customWidth="1"/>
    <col min="23" max="23" width="72.28515625" style="2" customWidth="1"/>
    <col min="24" max="24" width="29.5703125" style="441" customWidth="1"/>
    <col min="25" max="25" width="30.42578125" style="2" customWidth="1"/>
    <col min="26" max="26" width="36" style="2" hidden="1" customWidth="1"/>
    <col min="27" max="27" width="0" style="2" hidden="1" customWidth="1"/>
    <col min="28" max="74" width="11.42578125" style="2" hidden="1" customWidth="1"/>
    <col min="75" max="75" width="11.42578125" style="2" customWidth="1"/>
    <col min="76" max="16384" width="11.42578125" style="2"/>
  </cols>
  <sheetData>
    <row r="1" spans="1:74" ht="21" customHeight="1" x14ac:dyDescent="0.25">
      <c r="A1" s="573"/>
      <c r="B1" s="573"/>
      <c r="C1" s="573"/>
      <c r="D1" s="573"/>
      <c r="E1" s="72"/>
      <c r="F1" s="574" t="s">
        <v>0</v>
      </c>
      <c r="G1" s="575"/>
      <c r="H1" s="575"/>
      <c r="I1" s="575"/>
      <c r="J1" s="575"/>
      <c r="K1" s="575"/>
      <c r="L1" s="575"/>
      <c r="M1" s="575"/>
      <c r="N1" s="575"/>
      <c r="O1" s="575"/>
      <c r="P1" s="575"/>
      <c r="Q1" s="575"/>
      <c r="R1" s="575"/>
      <c r="S1" s="575"/>
      <c r="T1" s="575"/>
      <c r="U1" s="576"/>
      <c r="V1" s="583" t="s">
        <v>223</v>
      </c>
      <c r="W1" s="584"/>
      <c r="X1" s="450"/>
      <c r="Y1" s="1"/>
      <c r="Z1" s="1"/>
    </row>
    <row r="2" spans="1:74" ht="22.5" customHeight="1" x14ac:dyDescent="0.25">
      <c r="A2" s="573"/>
      <c r="B2" s="573"/>
      <c r="C2" s="573"/>
      <c r="D2" s="573"/>
      <c r="E2" s="73"/>
      <c r="F2" s="577"/>
      <c r="G2" s="578"/>
      <c r="H2" s="578"/>
      <c r="I2" s="578"/>
      <c r="J2" s="578"/>
      <c r="K2" s="578"/>
      <c r="L2" s="578"/>
      <c r="M2" s="578"/>
      <c r="N2" s="578"/>
      <c r="O2" s="578"/>
      <c r="P2" s="578"/>
      <c r="Q2" s="578"/>
      <c r="R2" s="578"/>
      <c r="S2" s="578"/>
      <c r="T2" s="578"/>
      <c r="U2" s="579"/>
      <c r="V2" s="583" t="s">
        <v>149</v>
      </c>
      <c r="W2" s="584"/>
      <c r="X2" s="450"/>
      <c r="Y2" s="1"/>
      <c r="Z2" s="1"/>
    </row>
    <row r="3" spans="1:74" ht="21" customHeight="1" x14ac:dyDescent="0.25">
      <c r="A3" s="573"/>
      <c r="B3" s="573"/>
      <c r="C3" s="573"/>
      <c r="D3" s="573"/>
      <c r="E3" s="73"/>
      <c r="F3" s="577"/>
      <c r="G3" s="578"/>
      <c r="H3" s="578"/>
      <c r="I3" s="578"/>
      <c r="J3" s="578"/>
      <c r="K3" s="578"/>
      <c r="L3" s="578"/>
      <c r="M3" s="578"/>
      <c r="N3" s="578"/>
      <c r="O3" s="578"/>
      <c r="P3" s="578"/>
      <c r="Q3" s="578"/>
      <c r="R3" s="578"/>
      <c r="S3" s="578"/>
      <c r="T3" s="578"/>
      <c r="U3" s="579"/>
      <c r="V3" s="583" t="s">
        <v>150</v>
      </c>
      <c r="W3" s="584"/>
      <c r="X3" s="450"/>
      <c r="Y3" s="1"/>
      <c r="Z3" s="1"/>
    </row>
    <row r="4" spans="1:74" ht="20.25" customHeight="1" x14ac:dyDescent="0.25">
      <c r="A4" s="573"/>
      <c r="B4" s="573"/>
      <c r="C4" s="573"/>
      <c r="D4" s="573"/>
      <c r="E4" s="74"/>
      <c r="F4" s="580"/>
      <c r="G4" s="581"/>
      <c r="H4" s="581"/>
      <c r="I4" s="581"/>
      <c r="J4" s="581"/>
      <c r="K4" s="581"/>
      <c r="L4" s="581"/>
      <c r="M4" s="581"/>
      <c r="N4" s="581"/>
      <c r="O4" s="581"/>
      <c r="P4" s="581"/>
      <c r="Q4" s="581"/>
      <c r="R4" s="581"/>
      <c r="S4" s="581"/>
      <c r="T4" s="581"/>
      <c r="U4" s="582"/>
      <c r="V4" s="583" t="s">
        <v>1</v>
      </c>
      <c r="W4" s="584"/>
      <c r="X4" s="450"/>
      <c r="Y4" s="1"/>
      <c r="Z4" s="1"/>
    </row>
    <row r="5" spans="1:74" ht="8.25" customHeight="1" x14ac:dyDescent="0.25">
      <c r="B5" s="3"/>
      <c r="C5" s="3"/>
      <c r="D5" s="3"/>
      <c r="E5" s="3"/>
      <c r="F5" s="4"/>
      <c r="G5" s="4"/>
      <c r="H5" s="4"/>
      <c r="I5" s="4"/>
      <c r="J5" s="4"/>
      <c r="K5" s="4"/>
      <c r="L5" s="4"/>
      <c r="M5" s="4"/>
      <c r="N5" s="4"/>
      <c r="O5" s="4"/>
      <c r="P5" s="4"/>
      <c r="Q5" s="4"/>
      <c r="R5" s="4"/>
      <c r="Y5" s="6"/>
      <c r="Z5" s="6"/>
    </row>
    <row r="6" spans="1:74" ht="15" x14ac:dyDescent="0.25">
      <c r="A6" s="553" t="s">
        <v>2</v>
      </c>
      <c r="B6" s="553"/>
      <c r="C6" s="553"/>
      <c r="D6" s="553"/>
      <c r="E6" s="75"/>
      <c r="F6" s="567" t="str">
        <f>[8]IdentRiesgo!B2</f>
        <v>ATENCION AL CIUDADANO</v>
      </c>
      <c r="G6" s="568"/>
      <c r="H6" s="568"/>
      <c r="I6" s="568"/>
      <c r="J6" s="568"/>
      <c r="K6" s="568"/>
      <c r="L6" s="568"/>
      <c r="M6" s="568"/>
      <c r="N6" s="568"/>
      <c r="O6" s="568"/>
      <c r="P6" s="568"/>
      <c r="Q6" s="568"/>
      <c r="R6" s="568"/>
      <c r="S6" s="568"/>
      <c r="T6" s="568"/>
      <c r="U6" s="568"/>
      <c r="V6" s="568"/>
      <c r="W6" s="569"/>
      <c r="X6" s="445"/>
      <c r="Y6" s="6"/>
      <c r="Z6" s="6"/>
    </row>
    <row r="7" spans="1:74" ht="6.75" customHeight="1" x14ac:dyDescent="0.25">
      <c r="B7" s="3"/>
      <c r="C7" s="3"/>
      <c r="D7" s="3"/>
      <c r="E7" s="3"/>
      <c r="F7" s="7"/>
      <c r="G7" s="7"/>
      <c r="H7" s="7"/>
      <c r="I7" s="7"/>
      <c r="J7" s="7"/>
      <c r="K7" s="7"/>
      <c r="L7" s="7"/>
      <c r="M7" s="7"/>
      <c r="N7" s="7"/>
      <c r="O7" s="7"/>
      <c r="P7" s="7"/>
      <c r="Q7" s="7"/>
      <c r="R7" s="7"/>
      <c r="S7" s="8"/>
      <c r="T7" s="8"/>
      <c r="U7" s="8"/>
      <c r="V7" s="8"/>
      <c r="W7" s="8"/>
      <c r="X7" s="444"/>
      <c r="Y7" s="6"/>
      <c r="Z7" s="6"/>
    </row>
    <row r="8" spans="1:74" ht="39.75" customHeight="1" x14ac:dyDescent="0.25">
      <c r="A8" s="553" t="s">
        <v>3</v>
      </c>
      <c r="B8" s="553"/>
      <c r="C8" s="553"/>
      <c r="D8" s="553"/>
      <c r="E8" s="75"/>
      <c r="F8" s="570" t="str">
        <f>[8]IdentRiesgo!B3</f>
        <v>Brindar a los usuarios internos y externos del Instituto, una atención y orientación oportuna, eficaz y eficiente, con calidad, garantizando un trato amable y el acceso efectivo a la información que genera el IDEAM.</v>
      </c>
      <c r="G8" s="571"/>
      <c r="H8" s="571"/>
      <c r="I8" s="571"/>
      <c r="J8" s="571"/>
      <c r="K8" s="571"/>
      <c r="L8" s="571"/>
      <c r="M8" s="571"/>
      <c r="N8" s="571"/>
      <c r="O8" s="571"/>
      <c r="P8" s="571"/>
      <c r="Q8" s="571"/>
      <c r="R8" s="571"/>
      <c r="S8" s="571"/>
      <c r="T8" s="571"/>
      <c r="U8" s="571"/>
      <c r="V8" s="571"/>
      <c r="W8" s="572"/>
      <c r="X8" s="451"/>
      <c r="Y8" s="9"/>
      <c r="Z8" s="9"/>
    </row>
    <row r="9" spans="1:74" ht="6.75" customHeight="1" x14ac:dyDescent="0.25">
      <c r="B9" s="10"/>
      <c r="C9" s="10"/>
      <c r="D9" s="10"/>
      <c r="E9" s="10"/>
      <c r="F9" s="11"/>
      <c r="G9" s="11"/>
      <c r="H9" s="11"/>
      <c r="I9" s="11"/>
      <c r="J9" s="11"/>
      <c r="K9" s="11"/>
      <c r="L9" s="11"/>
      <c r="M9" s="11"/>
      <c r="N9" s="11"/>
      <c r="O9" s="11"/>
      <c r="P9" s="11"/>
      <c r="Q9" s="11"/>
      <c r="R9" s="11"/>
      <c r="S9" s="8"/>
      <c r="T9" s="8"/>
      <c r="U9" s="8"/>
      <c r="V9" s="8"/>
      <c r="W9" s="8"/>
      <c r="X9" s="444"/>
      <c r="Y9" s="6"/>
      <c r="Z9" s="6"/>
    </row>
    <row r="10" spans="1:74" ht="15" x14ac:dyDescent="0.25">
      <c r="A10" s="553" t="s">
        <v>4</v>
      </c>
      <c r="B10" s="553"/>
      <c r="C10" s="553"/>
      <c r="D10" s="553"/>
      <c r="E10" s="75"/>
      <c r="F10" s="554" t="s">
        <v>56</v>
      </c>
      <c r="G10" s="555"/>
      <c r="H10" s="555"/>
      <c r="I10" s="555"/>
      <c r="J10" s="555"/>
      <c r="K10" s="555"/>
      <c r="L10" s="555"/>
      <c r="M10" s="555"/>
      <c r="N10" s="555"/>
      <c r="O10" s="555"/>
      <c r="P10" s="555"/>
      <c r="Q10" s="555"/>
      <c r="R10" s="555"/>
      <c r="S10" s="555"/>
      <c r="T10" s="555"/>
      <c r="U10" s="555"/>
      <c r="V10" s="555"/>
      <c r="W10" s="556"/>
      <c r="X10" s="443"/>
      <c r="Y10" s="12"/>
      <c r="Z10" s="12"/>
    </row>
    <row r="11" spans="1:74" ht="5.25" customHeight="1" x14ac:dyDescent="0.25">
      <c r="B11" s="3"/>
      <c r="C11" s="3"/>
      <c r="D11" s="3"/>
      <c r="E11" s="3"/>
      <c r="F11" s="13"/>
      <c r="G11" s="13"/>
      <c r="H11" s="13"/>
      <c r="I11" s="13"/>
      <c r="J11" s="13"/>
      <c r="K11" s="13"/>
      <c r="L11" s="13"/>
      <c r="M11" s="13"/>
      <c r="N11" s="13"/>
      <c r="O11" s="13"/>
      <c r="P11" s="13"/>
      <c r="Q11" s="13"/>
      <c r="R11" s="13"/>
      <c r="S11" s="8"/>
      <c r="T11" s="8"/>
      <c r="U11" s="8"/>
      <c r="V11" s="8"/>
      <c r="W11" s="8"/>
      <c r="X11" s="444"/>
      <c r="Y11" s="6"/>
      <c r="Z11" s="6"/>
    </row>
    <row r="12" spans="1:74" ht="15" x14ac:dyDescent="0.25">
      <c r="A12" s="553" t="s">
        <v>5</v>
      </c>
      <c r="B12" s="553"/>
      <c r="C12" s="553"/>
      <c r="D12" s="553"/>
      <c r="E12" s="75"/>
      <c r="F12" s="554" t="s">
        <v>300</v>
      </c>
      <c r="G12" s="555"/>
      <c r="H12" s="555"/>
      <c r="I12" s="555"/>
      <c r="J12" s="555"/>
      <c r="K12" s="555"/>
      <c r="L12" s="555"/>
      <c r="M12" s="555"/>
      <c r="N12" s="555"/>
      <c r="O12" s="555"/>
      <c r="P12" s="555"/>
      <c r="Q12" s="555"/>
      <c r="R12" s="555"/>
      <c r="S12" s="555"/>
      <c r="T12" s="555"/>
      <c r="U12" s="555"/>
      <c r="V12" s="555"/>
      <c r="W12" s="556"/>
      <c r="X12" s="443"/>
      <c r="Y12" s="12"/>
      <c r="Z12" s="12"/>
      <c r="AC12" s="2" t="s">
        <v>6</v>
      </c>
    </row>
    <row r="13" spans="1:74" ht="15.75" thickBot="1" x14ac:dyDescent="0.3">
      <c r="B13" s="3"/>
      <c r="C13" s="3"/>
      <c r="D13" s="3"/>
      <c r="E13" s="3"/>
      <c r="F13" s="14"/>
      <c r="G13" s="14"/>
      <c r="H13" s="15"/>
      <c r="I13" s="15"/>
      <c r="J13" s="15"/>
      <c r="K13" s="7"/>
      <c r="L13" s="7"/>
      <c r="M13" s="15"/>
      <c r="N13" s="7"/>
      <c r="O13" s="7"/>
      <c r="P13" s="7"/>
      <c r="Q13" s="7"/>
      <c r="R13" s="7"/>
      <c r="S13" s="7"/>
      <c r="T13" s="15"/>
      <c r="U13" s="7"/>
      <c r="Y13" s="6"/>
      <c r="Z13" s="6"/>
      <c r="AC13" s="2" t="s">
        <v>7</v>
      </c>
      <c r="AI13" s="557" t="s">
        <v>8</v>
      </c>
      <c r="AJ13" s="557"/>
      <c r="AK13" s="557"/>
      <c r="AL13" s="557"/>
      <c r="AM13" s="557"/>
      <c r="AN13" s="557"/>
      <c r="AO13" s="557"/>
      <c r="AP13" s="557"/>
      <c r="AQ13" s="557"/>
      <c r="AR13" s="557"/>
      <c r="AS13" s="557"/>
      <c r="AT13" s="557"/>
      <c r="AU13" s="557"/>
      <c r="AV13" s="557"/>
      <c r="AW13" s="557"/>
      <c r="AX13" s="557"/>
      <c r="AY13" s="557"/>
      <c r="AZ13" s="557"/>
      <c r="BA13" s="557"/>
      <c r="BC13" s="557" t="s">
        <v>9</v>
      </c>
      <c r="BD13" s="557"/>
      <c r="BE13" s="557"/>
      <c r="BF13" s="557"/>
      <c r="BG13" s="557"/>
      <c r="BH13" s="557"/>
      <c r="BI13" s="557"/>
      <c r="BJ13" s="557"/>
      <c r="BK13" s="557"/>
      <c r="BL13" s="557"/>
      <c r="BM13" s="557"/>
      <c r="BN13" s="557"/>
      <c r="BO13" s="557"/>
      <c r="BP13" s="557"/>
      <c r="BQ13" s="557"/>
      <c r="BR13" s="557"/>
      <c r="BS13" s="557"/>
      <c r="BT13" s="557"/>
      <c r="BU13" s="557"/>
      <c r="BV13" s="557"/>
    </row>
    <row r="14" spans="1:74" s="17" customFormat="1" ht="15" customHeight="1" x14ac:dyDescent="0.25">
      <c r="A14" s="558" t="s">
        <v>10</v>
      </c>
      <c r="B14" s="559"/>
      <c r="C14" s="559"/>
      <c r="D14" s="560"/>
      <c r="E14" s="76"/>
      <c r="F14" s="561" t="s">
        <v>11</v>
      </c>
      <c r="G14" s="561"/>
      <c r="H14" s="561"/>
      <c r="I14" s="16"/>
      <c r="J14" s="16"/>
      <c r="K14" s="562" t="s">
        <v>12</v>
      </c>
      <c r="L14" s="80"/>
      <c r="M14" s="558" t="s">
        <v>13</v>
      </c>
      <c r="N14" s="559"/>
      <c r="O14" s="560"/>
      <c r="P14" s="68"/>
      <c r="Q14" s="565" t="s">
        <v>14</v>
      </c>
      <c r="R14" s="565"/>
      <c r="S14" s="565"/>
      <c r="T14" s="565" t="s">
        <v>15</v>
      </c>
      <c r="U14" s="565"/>
      <c r="V14" s="561"/>
      <c r="W14" s="561"/>
      <c r="X14" s="452"/>
    </row>
    <row r="15" spans="1:74" s="17" customFormat="1" ht="14.25" customHeight="1" x14ac:dyDescent="0.25">
      <c r="A15" s="563" t="s">
        <v>16</v>
      </c>
      <c r="B15" s="563" t="s">
        <v>17</v>
      </c>
      <c r="C15" s="69"/>
      <c r="D15" s="563" t="s">
        <v>18</v>
      </c>
      <c r="E15" s="69"/>
      <c r="F15" s="543" t="s">
        <v>19</v>
      </c>
      <c r="G15" s="543"/>
      <c r="H15" s="543"/>
      <c r="I15" s="65"/>
      <c r="J15" s="55"/>
      <c r="K15" s="563"/>
      <c r="L15" s="79"/>
      <c r="M15" s="548" t="s">
        <v>20</v>
      </c>
      <c r="N15" s="549"/>
      <c r="O15" s="550"/>
      <c r="P15" s="67"/>
      <c r="Q15" s="543" t="s">
        <v>21</v>
      </c>
      <c r="R15" s="543"/>
      <c r="S15" s="543"/>
      <c r="T15" s="543" t="s">
        <v>22</v>
      </c>
      <c r="U15" s="543" t="s">
        <v>23</v>
      </c>
      <c r="V15" s="543" t="s">
        <v>4</v>
      </c>
      <c r="W15" s="550" t="s">
        <v>24</v>
      </c>
      <c r="X15" s="499"/>
    </row>
    <row r="16" spans="1:74" s="17" customFormat="1" ht="63" customHeight="1" thickBot="1" x14ac:dyDescent="0.3">
      <c r="A16" s="566"/>
      <c r="B16" s="566"/>
      <c r="C16" s="71" t="s">
        <v>70</v>
      </c>
      <c r="D16" s="566"/>
      <c r="E16" s="71" t="s">
        <v>71</v>
      </c>
      <c r="F16" s="55" t="s">
        <v>25</v>
      </c>
      <c r="G16" s="65" t="s">
        <v>70</v>
      </c>
      <c r="H16" s="55" t="s">
        <v>9</v>
      </c>
      <c r="I16" s="65" t="s">
        <v>70</v>
      </c>
      <c r="J16" s="55" t="s">
        <v>26</v>
      </c>
      <c r="K16" s="564"/>
      <c r="L16" s="70" t="s">
        <v>72</v>
      </c>
      <c r="M16" s="19" t="s">
        <v>25</v>
      </c>
      <c r="N16" s="19" t="s">
        <v>9</v>
      </c>
      <c r="O16" s="56" t="s">
        <v>26</v>
      </c>
      <c r="P16" s="80" t="s">
        <v>74</v>
      </c>
      <c r="Q16" s="541" t="s">
        <v>27</v>
      </c>
      <c r="R16" s="541" t="s">
        <v>23</v>
      </c>
      <c r="S16" s="541" t="s">
        <v>28</v>
      </c>
      <c r="T16" s="543"/>
      <c r="U16" s="543"/>
      <c r="V16" s="543"/>
      <c r="W16" s="550"/>
      <c r="X16" s="499"/>
    </row>
    <row r="17" spans="1:72" ht="409.5" customHeight="1" thickTop="1" thickBot="1" x14ac:dyDescent="0.3">
      <c r="A17" s="300" t="str">
        <f>IF(ISTEXT([9]IdentificaciónRiesgos!$B8),[9]IdentificaciónRiesgos!$A8,"")</f>
        <v>1.- Funcionarios predispuestos a la materialización de conductas de corrupción. 
2.- La no aplicación de los Procesos y Procedimientos de Atención al Ciudadano.</v>
      </c>
      <c r="B17" s="300" t="str">
        <f>IF(ISTEXT([9]IdentificaciónRiesgos!$B8),[9]IdentificaciónRiesgos!$B8,"")</f>
        <v>Solicitar o aceptar pagos o cualquier otra clase de beneficio.</v>
      </c>
      <c r="C17" s="300" t="str">
        <f>IF(ISTEXT([9]IdentificaciónRiesgos!$B8),[9]IdentificaciónRiesgos!$C8,"")</f>
        <v xml:space="preserve">Solicitar o aceptar pagos o cualquier otra clase de beneficio, a cambio de dar cumplimiento a las obligaciones propias del cargo asignado al Grupo de Atención al Ciudadano. </v>
      </c>
      <c r="D17" s="300" t="str">
        <f>IF(ISTEXT([9]IdentificaciónRiesgos!$B8),[9]IdentificaciónRiesgos!$D8,"")</f>
        <v>Tutelas, Demandas Adminitrativas, Responsabilidad Penal y Disciplinaria y pérdida de la credibilidad.</v>
      </c>
      <c r="E17" s="302" t="str">
        <f>IF(ISTEXT([9]IdentificaciónRiesgos!$B8),VLOOKUP($C17,[9]DefiniciónRiesgos!$A$4:$F$9,6,FALSE),"")</f>
        <v>RIESGO DE CORRUPCIÓN</v>
      </c>
      <c r="F17" s="303">
        <f>IF(ISTEXT([9]IdentificaciónRiesgos!$B8),IF(EXACT([9]AnálisisRiesgos!$B11,"X"),5,IF(EXACT([9]AnálisisRiesgos!$C11,"X"),4,IF(EXACT([9]AnálisisRiesgos!$D11,"X"),3,IF(EXACT([9]AnálisisRiesgos!$E11,"X"),2,IF(EXACT([9]AnálisisRiesgos!$F11,"X"),1,""))))),"")</f>
        <v>1</v>
      </c>
      <c r="G17" s="303" t="str">
        <f>IF(EXACT($F17,5),"Casí Seguro",IF(EXACT($F17,4),"Probable",IF(EXACT($F17,3),"Posible",IF(EXACT($F17,2),"Improbable","Rara Vez"))))</f>
        <v>Rara Vez</v>
      </c>
      <c r="H17" s="304">
        <f>IF(EXACT($B17,""),"",IF(EXACT($E17,"RIESGO DE GESTIÓN"),IF(EXACT([9]AnálisisRiesgos!$G11,"X"),5,IF(EXACT([9]AnálisisRiesgos!$H11,"X"),4,IF(EXACT([9]AnálisisRiesgos!$I11,"X"),3,IF(EXACT([9]AnálisisRiesgos!$J11,"X"),2,1)))),IF(EXACT([9]AnálisisRiesgos!$L11,"X"),20,IF(EXACT([9]AnálisisRiesgos!$M11,"X"),10,5))))</f>
        <v>20</v>
      </c>
      <c r="I17" s="304" t="str">
        <f>IF(EXACT($E17,"RIESGO DE GESTIÓN"),IF(EXACT($H17,1),"Insignificante",IF(EXACT($H17,2),"Menor",IF(EXACT($H17,3),"Moderado",IF(EXACT($H17,4),"Mayor","Catastrófico")))),IF(EXACT($H17,5),"Moderado",IF(EXACT($H17,10),"Mayor","Catastrófico")))</f>
        <v>Catastrófico</v>
      </c>
      <c r="J17" s="305" t="s">
        <v>40</v>
      </c>
      <c r="K17" s="428" t="s">
        <v>298</v>
      </c>
      <c r="L17" s="599" t="s">
        <v>9</v>
      </c>
      <c r="M17" s="600"/>
      <c r="N17" s="305"/>
      <c r="O17" s="301" t="s">
        <v>39</v>
      </c>
      <c r="P17" s="644" t="s">
        <v>85</v>
      </c>
      <c r="Q17" s="542" t="s">
        <v>53</v>
      </c>
      <c r="R17" s="333" t="s">
        <v>86</v>
      </c>
      <c r="S17" s="333" t="s">
        <v>87</v>
      </c>
      <c r="T17" s="646"/>
      <c r="U17" s="647"/>
      <c r="V17" s="542" t="s">
        <v>206</v>
      </c>
      <c r="W17" s="645" t="s">
        <v>207</v>
      </c>
      <c r="X17" s="601"/>
      <c r="Z17" s="26" t="str">
        <f>IF(AND(F17=1,H17=5),$H$23,IF(AND(F17=1,H17=10),$J$23,IF(AND(F17=1,H17=20),$K$23," ")))</f>
        <v>M</v>
      </c>
      <c r="AA17" s="26" t="str">
        <f>IF(AND(F17=2,H17=5),$H$24,IF(AND(F17=2,H17=10),$J$24,IF(AND(F17=2,H17=20),$K$24," ")))</f>
        <v xml:space="preserve"> </v>
      </c>
      <c r="AB17" s="26" t="str">
        <f>IF(AND(F17=3,H17=5),$H$25,IF(AND(F17=3,H17=10),$J$25,IF(AND(F17=3,H17=20),$K$25," ")))</f>
        <v xml:space="preserve"> </v>
      </c>
      <c r="AC17" s="26" t="str">
        <f>IF(AND(F17=4,H17=5),$H$26,IF(AND(F17=4,H17=10),$J$26,IF(AND(F17=4,H17=20),$K$26," ")))</f>
        <v xml:space="preserve"> </v>
      </c>
      <c r="AD17" s="26" t="str">
        <f>IF(AND(F17=5,H17=5),$H$27,IF(AND(F17=5,H17=10),$J$27,IF(AND(F17=5,H17=20),$K$27," ")))</f>
        <v xml:space="preserve"> </v>
      </c>
      <c r="AG17" s="26" t="str">
        <f>IF(AND(M17&gt;0,'[8]EvaluaciónRiesgoCorrup 1'!$F$11&gt;75,F17=1,H17=5),$H$23,IF(AND(M17&gt;0,'[8]EvaluaciónRiesgoCorrup 1'!$F$11&gt;75,F17=1,H17=10),$J$23,IF(AND(M17&gt;0,'[8]EvaluaciónRiesgoCorrup 1'!$F$11&gt;75,F17=1,H17=20),$K$23," ")))</f>
        <v xml:space="preserve"> </v>
      </c>
      <c r="AH17" s="26" t="str">
        <f>IF(AND(M17&gt;0,'[8]EvaluaciónRiesgoCorrup 1'!$F$11&gt;75,F17=2,H17=5),$H$23,IF(AND(M17&gt;0,'[8]EvaluaciónRiesgoCorrup 1'!$F$11&gt;75,F17=2,H17=10),$J$23,IF(AND(M17&gt;0,'[8]EvaluaciónRiesgoCorrup 1'!$F$11&gt;75,F17=2,H17=20),$K$23," ")))</f>
        <v xml:space="preserve"> </v>
      </c>
      <c r="AI17" s="26" t="str">
        <f>IF(AND(M17&gt;0,'[8]EvaluaciónRiesgoCorrup 1'!$F$11&gt;75,F17=3,H17=5),$H$23,IF(AND(M17&gt;0,'[8]EvaluaciónRiesgoCorrup 1'!$F$11&gt;75,F17=3,H17=10),$J$23,IF(AND(M17&gt;0,'[8]EvaluaciónRiesgoCorrup 1'!$F$11&gt;75,F17=3,H17=20),$K$23," ")))</f>
        <v xml:space="preserve"> </v>
      </c>
      <c r="AJ17" s="26" t="str">
        <f>IF(AND(M17&gt;0,'[8]EvaluaciónRiesgoCorrup 1'!$F$11&gt;75,F17=4,H17=5),$H$24,IF(AND(M17&gt;0,'[8]EvaluaciónRiesgoCorrup 1'!$F$11&gt;75,F17=4,H17=10),$J$24,IF(AND(M17&gt;0,'[8]EvaluaciónRiesgoCorrup 1'!$F$11&gt;75,F17=4,H17=20),$K$24," ")))</f>
        <v xml:space="preserve"> </v>
      </c>
      <c r="AK17" s="26" t="str">
        <f>IF(AND(M17&gt;0,'[8]EvaluaciónRiesgoCorrup 1'!$F$11&gt;75,F17=5,H17=5),$H$25,IF(AND(M17&gt;0,'[8]EvaluaciónRiesgoCorrup 1'!$F$11&gt;75,F17=5,H17=10),$J$25,IF(AND(M17&gt;0,'[8]EvaluaciónRiesgoCorrup 1'!$F$11&gt;75,F17=5,H17=20),$K$25," ")))</f>
        <v xml:space="preserve"> </v>
      </c>
      <c r="AM17" s="26" t="str">
        <f>IF(AND(M17&gt;0,'[8]EvaluaciónRiesgoCorrup 1'!$F$11&gt;50,'[8]EvaluaciónRiesgoCorrup 1'!$F$11&lt;76,F17=1,H17=5),$H$23,IF(AND(M17&gt;0,'[8]EvaluaciónRiesgoCorrup 1'!$F$11&gt;50,'[8]EvaluaciónRiesgoCorrup 1'!$F$11&lt;76,F17=1,H17=10),$J$23,IF(AND(M17&gt;0,'[8]EvaluaciónRiesgoCorrup 1'!$F$11&gt;50,'[8]EvaluaciónRiesgoCorrup 1'!$F$11&lt;76,F17=1,H17=20),$K$23," ")))</f>
        <v xml:space="preserve"> </v>
      </c>
      <c r="AN17" s="26" t="str">
        <f>IF(AND(M17&gt;0,'[8]EvaluaciónRiesgoCorrup 1'!$F$11&gt;50,'[8]EvaluaciónRiesgoCorrup 1'!$F$11&lt;76,F17=2,H17=5),$H$23,IF(AND(M17&gt;0,'[8]EvaluaciónRiesgoCorrup 1'!$F$11&gt;50,'[8]EvaluaciónRiesgoCorrup 1'!$F$11&lt;76,F17=2,H17=10),$J$23,IF(AND(M17&gt;0,'[8]EvaluaciónRiesgoCorrup 1'!$F$11&gt;50,'[8]EvaluaciónRiesgoCorrup 1'!$F$11&lt;76,F17=2,H17=20),$K$23," ")))</f>
        <v xml:space="preserve"> </v>
      </c>
      <c r="AO17" s="26" t="str">
        <f>IF(AND(M17&gt;0,'[8]EvaluaciónRiesgoCorrup 1'!$F$11&gt;50,'[8]EvaluaciónRiesgoCorrup 1'!$F$11&lt;76,F17=3,H17=5),$H$24,IF(AND(M17&gt;0,'[8]EvaluaciónRiesgoCorrup 1'!$F$11&gt;50,'[8]EvaluaciónRiesgoCorrup 1'!$F$11&lt;76,F17=3,H17=10),$J$24,IF(AND(M17&gt;0,'[8]EvaluaciónRiesgoCorrup 1'!$F$11&gt;50,'[8]EvaluaciónRiesgoCorrup 1'!$F$11&lt;76,F17=3,H17=20),$K$24," ")))</f>
        <v xml:space="preserve"> </v>
      </c>
      <c r="AP17" s="26" t="str">
        <f>IF(AND(M17&gt;0,'[8]EvaluaciónRiesgoCorrup 1'!$F$11&gt;50,'[8]EvaluaciónRiesgoCorrup 1'!$F$11&lt;76,F17=4,H17=5),$H$25,IF(AND(M17&gt;0,'[8]EvaluaciónRiesgoCorrup 1'!$F$11&gt;50,'[8]EvaluaciónRiesgoCorrup 1'!$F$11&lt;76,F17=4,H17=10),$J$25,IF(AND(M17&gt;0,'[8]EvaluaciónRiesgoCorrup 1'!$F$11&gt;50,'[8]EvaluaciónRiesgoCorrup 1'!$F$11&lt;76,F17=4,H17=20),$K$25," ")))</f>
        <v xml:space="preserve"> </v>
      </c>
      <c r="AQ17" s="26" t="str">
        <f>IF(AND(M17&gt;0,'[8]EvaluaciónRiesgoCorrup 1'!$F$11&gt;50,'[8]EvaluaciónRiesgoCorrup 1'!$F$11&lt;76,F17=5,H17=5),$H$26,IF(AND(M17&gt;0,'[8]EvaluaciónRiesgoCorrup 1'!$F$11&gt;50,'[8]EvaluaciónRiesgoCorrup 1'!$F$11&lt;76,F17=5,H17=10),$J$26,IF(AND(M17&gt;0,'[8]EvaluaciónRiesgoCorrup 1'!$F$11&gt;50,'[8]EvaluaciónRiesgoCorrup 1'!$F$11&lt;76,F17=5,H17=20),$K$26," ")))</f>
        <v xml:space="preserve"> </v>
      </c>
      <c r="AT17" s="26" t="str">
        <f>IF(AND(M17&gt;0,'[8]EvaluaciónRiesgoCorrup 1'!$F$11&lt;51,F17=1,H17=5),$H$23,IF(AND(M17&gt;0,'[8]EvaluaciónRiesgoCorrup 1'!$F$11&lt;51,F17=1,H17=10),$J$23,IF(AND(M17&gt;0,'[8]EvaluaciónRiesgoCorrup 1'!$F$11&lt;51,F17=1,H17=20),K$23," ")))</f>
        <v xml:space="preserve"> </v>
      </c>
      <c r="AU17" s="26" t="str">
        <f>IF(AND(M17&gt;0,'[8]EvaluaciónRiesgoCorrup 1'!$F$11&lt;51,F17=2,H17=5),$H$24,IF(AND(M17&gt;0,'[8]EvaluaciónRiesgoCorrup 1'!$F$11&lt;51,F17=2,H17=10),$J$24,IF(AND(M17&gt;0,'[8]EvaluaciónRiesgoCorrup 1'!$F$11&lt;51,F17=2,H17=20),K$24," ")))</f>
        <v xml:space="preserve"> </v>
      </c>
      <c r="AV17" s="26" t="str">
        <f>IF(AND(M17&gt;0,'[8]EvaluaciónRiesgoCorrup 1'!$F$11&lt;51,F17=3,H17=5),$H$25,IF(AND(M17&gt;0,'[8]EvaluaciónRiesgoCorrup 1'!$F$11&lt;51,F17=3,H17=10),$J$25,IF(AND(M17&gt;0,'[8]EvaluaciónRiesgoCorrup 1'!$F$11&lt;51,F17=3,H17=20),K$25," ")))</f>
        <v xml:space="preserve"> </v>
      </c>
      <c r="AW17" s="26" t="str">
        <f>IF(AND(M17&gt;0,'[8]EvaluaciónRiesgoCorrup 1'!$F$11&lt;51,F17=4,H17=5),$H$26,IF(AND(M17&gt;0,'[8]EvaluaciónRiesgoCorrup 1'!$F$11&lt;51,F17=4,H17=10),$J$26,IF(AND(M17&gt;0,'[8]EvaluaciónRiesgoCorrup 1'!$F$11&lt;51,F17=4,H17=20),K$26," ")))</f>
        <v xml:space="preserve"> </v>
      </c>
      <c r="AX17" s="26" t="str">
        <f>IF(AND(M17&gt;0,'[8]EvaluaciónRiesgoCorrup 1'!$F$11&lt;51,F17=5,H17=5),$H$27,IF(AND(M17&gt;0,'[8]EvaluaciónRiesgoCorrup 1'!$F$11&lt;51,F17=5,H17=10),$J$27,IF(AND(M17&gt;0,'[8]EvaluaciónRiesgoCorrup 1'!$F$11&lt;51,F17=5,H17=20),K$27," ")))</f>
        <v xml:space="preserve"> </v>
      </c>
      <c r="BB17" s="26" t="str">
        <f>IF(AND(N17&gt;0,'[8]EvaluaciónRiesgoCorrup 1'!$F$11&gt;75,F17=1,H17=5),$H$23,IF(AND(N17&gt;0,'[8]EvaluaciónRiesgoCorrup 1'!$F$11&gt;75,F17=1,H17=10),$H$23,IF(AND(N17&gt;0,'[8]EvaluaciónRiesgoCorrup 1'!$F$11&gt;75,F17=1,H17=20),$H$23," ")))</f>
        <v xml:space="preserve"> </v>
      </c>
      <c r="BC17" s="26" t="str">
        <f>IF(AND(N17&gt;0,'[8]EvaluaciónRiesgoCorrup 1'!$F$11&gt;75,F17=2,H17=5),$H$24,IF(AND(N17&gt;0,'[8]EvaluaciónRiesgoCorrup 1'!$F$11&gt;75,F17=2,H17=10),$H$24,IF(AND(N17&gt;0,'[8]EvaluaciónRiesgoCorrup 1'!$F$11&gt;75,F17=2,H17=20),$H$24," ")))</f>
        <v xml:space="preserve"> </v>
      </c>
      <c r="BD17" s="26" t="str">
        <f>IF(AND(N17&gt;0,'[8]EvaluaciónRiesgoCorrup 1'!$F$11&gt;75,F17=3,H17=5),$H$25,IF(AND(N17&gt;0,'[8]EvaluaciónRiesgoCorrup 1'!$F$11&gt;75,F17=3,H17=10),$H$25,IF(AND(N17&gt;0,'[8]EvaluaciónRiesgoCorrup 1'!$F$11&gt;75,F17=3,H17=20),$H$25," ")))</f>
        <v xml:space="preserve"> </v>
      </c>
      <c r="BE17" s="26" t="str">
        <f>IF(AND(N17&gt;0,'[8]EvaluaciónRiesgoCorrup 1'!$F$11&gt;75,F17=4,H17=5),$H$26,IF(AND(N17&gt;0,'[8]EvaluaciónRiesgoCorrup 1'!$F$11&gt;75,F17=4,H17=10),$H$26,IF(AND(N17&gt;0,'[8]EvaluaciónRiesgoCorrup 1'!$F$11&gt;75,F17=4,H17=20),$H$26," ")))</f>
        <v xml:space="preserve"> </v>
      </c>
      <c r="BF17" s="26" t="str">
        <f>IF(AND(N17&gt;0,'[8]EvaluaciónRiesgoCorrup 1'!$F$11&gt;75,F17=5,H17=5),$H$27,IF(AND(N17&gt;0,'[8]EvaluaciónRiesgoCorrup 1'!$F$11&gt;75,F17=5,H17=10),$H$27,IF(AND(N17&gt;0,'[8]EvaluaciónRiesgoCorrup 1'!$F$11&gt;75,F17=5,H17=20),$H$27," ")))</f>
        <v xml:space="preserve"> </v>
      </c>
      <c r="BI17" s="26" t="str">
        <f>IF(AND(N17&gt;0,'[8]EvaluaciónRiesgoCorrup 1'!$F$11&gt;50,'[8]EvaluaciónRiesgoCorrup 1'!$F$11&lt;76,F17=1,H17=5),$H$23,IF(AND(N17&gt;0,'[8]EvaluaciónRiesgoCorrup 1'!$F$11&gt;50,'[8]EvaluaciónRiesgoCorrup 1'!$F$11&lt;76,F17=1,H17=10),$H$23,IF(AND(N17&gt;0,'[8]EvaluaciónRiesgoCorrup 1'!$F$11&gt;50,'[8]EvaluaciónRiesgoCorrup 1'!$F$11&lt;76,F17=1,H17=20),$J$23," ")))</f>
        <v xml:space="preserve"> </v>
      </c>
      <c r="BJ17" s="26" t="str">
        <f>IF(AND(N17&gt;0,'[8]EvaluaciónRiesgoCorrup 1'!$F$11&gt;50,'[8]EvaluaciónRiesgoCorrup 1'!$F$11&lt;76,F17=2,H17=5),$H$24,IF(AND(N17&gt;0,'[8]EvaluaciónRiesgoCorrup 1'!$F$11&gt;50,'[8]EvaluaciónRiesgoCorrup 1'!$F$11&lt;76,F17=2,H17=10),$H$24,IF(AND(N17&gt;0,'[8]EvaluaciónRiesgoCorrup 1'!$F$11&gt;50,'[8]EvaluaciónRiesgoCorrup 1'!$F$11&lt;76,F17=2,H17=20),$J$24," ")))</f>
        <v xml:space="preserve"> </v>
      </c>
      <c r="BK17" s="26" t="str">
        <f>IF(AND(N17&gt;0,'[8]EvaluaciónRiesgoCorrup 1'!$F$11&gt;50,'[8]EvaluaciónRiesgoCorrup 1'!$F$11&lt;76,F17=3,H17=5),$H$25,IF(AND(N17&gt;0,'[8]EvaluaciónRiesgoCorrup 1'!$F$11&gt;50,'[8]EvaluaciónRiesgoCorrup 1'!$F$11&lt;76,F17=3,H17=10),$H$25,IF(AND(N17&gt;0,'[8]EvaluaciónRiesgoCorrup 1'!$F$11&gt;50,'[8]EvaluaciónRiesgoCorrup 1'!$F$11&lt;76,F17=3,H17=20),$J$25," ")))</f>
        <v xml:space="preserve"> </v>
      </c>
      <c r="BL17" s="26" t="str">
        <f>IF(AND(N17&gt;0,'[8]EvaluaciónRiesgoCorrup 1'!$F$11&gt;50,'[8]EvaluaciónRiesgoCorrup 1'!$F$11&lt;76,F17=4,H17=5),$H$26,IF(AND(N17&gt;0,'[8]EvaluaciónRiesgoCorrup 1'!$F$11&gt;50,'[8]EvaluaciónRiesgoCorrup 1'!$F$11&lt;76,F17=4,H17=10),$H$26,IF(AND(N17&gt;0,'[8]EvaluaciónRiesgoCorrup 1'!$F$11&gt;50,'[8]EvaluaciónRiesgoCorrup 1'!$F$11&lt;76,F17=4,H17=20),$J$26," ")))</f>
        <v xml:space="preserve"> </v>
      </c>
      <c r="BM17" s="26" t="str">
        <f>IF(AND(N17&gt;0,'[8]EvaluaciónRiesgoCorrup 1'!$F$11&gt;50,'[8]EvaluaciónRiesgoCorrup 1'!$F$11&lt;76,F17=5,H17=5),$H$27,IF(AND(N17&gt;0,'[8]EvaluaciónRiesgoCorrup 1'!$F$11&gt;50,'[8]EvaluaciónRiesgoCorrup 1'!$F$11&lt;76,F17=5,H17=10),$H$27,IF(AND(N17&gt;0,'[8]EvaluaciónRiesgoCorrup 1'!$F$11&gt;50,'[8]EvaluaciónRiesgoCorrup 1'!$F$11&lt;76,F17=5,H17=20),$J$27," ")))</f>
        <v xml:space="preserve"> </v>
      </c>
      <c r="BP17" s="26" t="str">
        <f>IF(AND(N17&gt;0,'[8]EvaluaciónRiesgoCorrup 1'!$F$11&lt;51,F17=1,H17=5),$H$23,IF(AND(N17&gt;0,'[8]EvaluaciónRiesgoCorrup 1'!$F$11&lt;51,F17=1,H17=10),$J$23,IF(AND(N17&gt;0,'[8]EvaluaciónRiesgoCorrup 1'!$F$11&lt;51,F17=1,H17=20),$K$23," ")))</f>
        <v xml:space="preserve"> </v>
      </c>
      <c r="BQ17" s="26" t="str">
        <f>IF(AND(N17&gt;0,'[8]EvaluaciónRiesgoCorrup 1'!$F$11&lt;51,F17=2,H17=5),$H$24,IF(AND(N17&gt;0,'[8]EvaluaciónRiesgoCorrup 1'!$F$11&lt;51,F17=2,H17=10),$J$24,IF(AND(N17&gt;0,'[8]EvaluaciónRiesgoCorrup 1'!$F$11&lt;51,F17=2,H17=20),$K$24," ")))</f>
        <v xml:space="preserve"> </v>
      </c>
      <c r="BR17" s="26" t="str">
        <f>IF(AND(N17&gt;0,'[8]EvaluaciónRiesgoCorrup 1'!$F$11&lt;51,F17=3,H17=5),$H$25,IF(AND(N17&gt;0,'[8]EvaluaciónRiesgoCorrup 1'!$F$11&lt;51,F17=3,H17=10),$J$25,IF(AND(N17&gt;0,'[8]EvaluaciónRiesgoCorrup 1'!$F$11&lt;51,F17=3,H17=20),$K$25," ")))</f>
        <v xml:space="preserve"> </v>
      </c>
      <c r="BS17" s="26" t="str">
        <f>IF(AND(N17&gt;0,'[8]EvaluaciónRiesgoCorrup 1'!$F$11&lt;51,F17=4,H17=5),$H$26,IF(AND(N17&gt;0,'[8]EvaluaciónRiesgoCorrup 1'!$F$11&lt;51,F17=4,H17=10),$J$26,IF(AND(N17&gt;0,'[8]EvaluaciónRiesgoCorrup 1'!$F$11&lt;51,F17=4,H17=20),$K$26," ")))</f>
        <v xml:space="preserve"> </v>
      </c>
      <c r="BT17" s="26" t="str">
        <f>IF(AND(N17&gt;0,'[8]EvaluaciónRiesgoCorrup 1'!$F$11&lt;51,F17=5,H17=5),$H$27,IF(AND(N17&gt;0,'[8]EvaluaciónRiesgoCorrup 1'!$F$11&lt;51,F17=5,H17=10),$J$27,IF(AND(N17&gt;0,'[8]EvaluaciónRiesgoCorrup 1'!$F$11&lt;51,F17=5,H17=20),$K$27," ")))</f>
        <v xml:space="preserve"> </v>
      </c>
    </row>
    <row r="18" spans="1:72" ht="125.25" hidden="1" customHeight="1" thickTop="1" x14ac:dyDescent="0.25">
      <c r="A18" s="57"/>
      <c r="B18" s="22"/>
      <c r="C18" s="22"/>
      <c r="D18" s="22"/>
      <c r="E18" s="78"/>
      <c r="Q18" s="447"/>
      <c r="R18" s="447"/>
      <c r="S18" s="447"/>
      <c r="T18" s="540"/>
      <c r="U18" s="647"/>
      <c r="V18" s="447"/>
      <c r="X18" s="602"/>
    </row>
    <row r="19" spans="1:72" ht="2.25" customHeight="1" thickTop="1" x14ac:dyDescent="0.25">
      <c r="A19" s="26"/>
      <c r="B19" s="28"/>
      <c r="C19" s="28"/>
      <c r="D19" s="28"/>
      <c r="E19" s="31"/>
      <c r="H19" s="604" t="s">
        <v>298</v>
      </c>
      <c r="Q19" s="447"/>
      <c r="R19" s="447"/>
      <c r="S19" s="447"/>
      <c r="T19" s="540"/>
      <c r="U19" s="647"/>
      <c r="V19" s="447"/>
      <c r="X19" s="603"/>
    </row>
    <row r="20" spans="1:72" ht="228.75" thickBot="1" x14ac:dyDescent="0.3">
      <c r="A20" s="26"/>
      <c r="B20" s="28"/>
      <c r="C20" s="28"/>
      <c r="D20" s="28"/>
      <c r="E20" s="31"/>
      <c r="H20" s="605"/>
      <c r="I20" s="534" t="s">
        <v>298</v>
      </c>
      <c r="J20" s="30"/>
    </row>
    <row r="21" spans="1:72" ht="15.75" thickBot="1" x14ac:dyDescent="0.3">
      <c r="A21" s="6"/>
      <c r="B21" s="31"/>
      <c r="C21" s="31"/>
      <c r="D21" s="31"/>
      <c r="E21" s="31"/>
      <c r="F21" s="544" t="s">
        <v>25</v>
      </c>
      <c r="G21" s="77"/>
      <c r="H21" s="546" t="s">
        <v>9</v>
      </c>
      <c r="I21" s="546"/>
      <c r="J21" s="546"/>
      <c r="K21" s="547"/>
      <c r="L21" s="82"/>
      <c r="M21" s="2"/>
      <c r="R21" s="5"/>
      <c r="T21" s="2"/>
    </row>
    <row r="22" spans="1:72" ht="32.25" customHeight="1" thickBot="1" x14ac:dyDescent="0.3">
      <c r="A22" s="5"/>
      <c r="B22" s="32" t="s">
        <v>33</v>
      </c>
      <c r="C22" s="32"/>
      <c r="D22" s="32"/>
      <c r="E22" s="32"/>
      <c r="F22" s="545"/>
      <c r="G22" s="66"/>
      <c r="H22" s="33" t="s">
        <v>34</v>
      </c>
      <c r="I22" s="33"/>
      <c r="J22" s="34" t="s">
        <v>35</v>
      </c>
      <c r="K22" s="33" t="s">
        <v>36</v>
      </c>
      <c r="L22" s="83"/>
      <c r="M22" s="2"/>
      <c r="R22" s="5"/>
      <c r="T22" s="2"/>
    </row>
    <row r="23" spans="1:72" ht="15.75" thickBot="1" x14ac:dyDescent="0.3">
      <c r="B23" s="5" t="s">
        <v>37</v>
      </c>
      <c r="C23" s="5"/>
      <c r="F23" s="35" t="s">
        <v>38</v>
      </c>
      <c r="G23" s="35"/>
      <c r="H23" s="36" t="s">
        <v>39</v>
      </c>
      <c r="I23" s="36"/>
      <c r="J23" s="36" t="s">
        <v>39</v>
      </c>
      <c r="K23" s="37" t="s">
        <v>40</v>
      </c>
      <c r="L23" s="84"/>
      <c r="M23" s="2"/>
      <c r="R23" s="5"/>
      <c r="T23" s="2"/>
    </row>
    <row r="24" spans="1:72" ht="15.75" thickBot="1" x14ac:dyDescent="0.3">
      <c r="F24" s="35" t="s">
        <v>41</v>
      </c>
      <c r="G24" s="35"/>
      <c r="H24" s="36" t="s">
        <v>39</v>
      </c>
      <c r="I24" s="36"/>
      <c r="J24" s="37" t="s">
        <v>40</v>
      </c>
      <c r="K24" s="38" t="s">
        <v>42</v>
      </c>
      <c r="L24" s="85"/>
      <c r="M24" s="2"/>
      <c r="R24" s="5"/>
      <c r="T24" s="2"/>
    </row>
    <row r="25" spans="1:72" ht="15.75" thickBot="1" x14ac:dyDescent="0.3">
      <c r="F25" s="35" t="s">
        <v>43</v>
      </c>
      <c r="G25" s="35"/>
      <c r="H25" s="37" t="s">
        <v>40</v>
      </c>
      <c r="I25" s="37"/>
      <c r="J25" s="38" t="s">
        <v>42</v>
      </c>
      <c r="K25" s="39" t="s">
        <v>44</v>
      </c>
      <c r="L25" s="86"/>
      <c r="M25" s="2"/>
      <c r="R25" s="5"/>
      <c r="T25" s="2"/>
    </row>
    <row r="26" spans="1:72" ht="15.75" thickBot="1" x14ac:dyDescent="0.3">
      <c r="F26" s="35" t="s">
        <v>45</v>
      </c>
      <c r="G26" s="35"/>
      <c r="H26" s="37" t="s">
        <v>40</v>
      </c>
      <c r="I26" s="37"/>
      <c r="J26" s="38" t="s">
        <v>42</v>
      </c>
      <c r="K26" s="39" t="s">
        <v>44</v>
      </c>
      <c r="L26" s="86"/>
      <c r="M26" s="2"/>
      <c r="R26" s="5"/>
      <c r="T26" s="2"/>
    </row>
    <row r="27" spans="1:72" ht="15.75" thickBot="1" x14ac:dyDescent="0.3">
      <c r="F27" s="35" t="s">
        <v>46</v>
      </c>
      <c r="G27" s="35"/>
      <c r="H27" s="37" t="s">
        <v>40</v>
      </c>
      <c r="I27" s="37"/>
      <c r="J27" s="38" t="s">
        <v>42</v>
      </c>
      <c r="K27" s="39" t="s">
        <v>44</v>
      </c>
      <c r="L27" s="86"/>
      <c r="M27" s="2"/>
      <c r="R27" s="5"/>
      <c r="T27" s="2"/>
    </row>
    <row r="28" spans="1:72" x14ac:dyDescent="0.25">
      <c r="F28" s="2"/>
      <c r="G28" s="2"/>
      <c r="H28" s="2"/>
      <c r="I28" s="2"/>
      <c r="J28" s="2"/>
      <c r="K28" s="5"/>
      <c r="L28" s="5"/>
      <c r="N28" s="5"/>
    </row>
    <row r="29" spans="1:72" ht="15" x14ac:dyDescent="0.25">
      <c r="F29" s="40" t="s">
        <v>47</v>
      </c>
      <c r="G29" s="40"/>
      <c r="H29" s="2"/>
      <c r="I29" s="2"/>
      <c r="J29" s="2"/>
      <c r="K29" s="5"/>
      <c r="L29" s="5"/>
      <c r="N29" s="5"/>
      <c r="O29" s="5"/>
      <c r="P29" s="5"/>
      <c r="Q29" s="5"/>
    </row>
    <row r="30" spans="1:72" ht="15" x14ac:dyDescent="0.25">
      <c r="F30" s="41" t="s">
        <v>48</v>
      </c>
      <c r="G30" s="41"/>
      <c r="H30" s="2"/>
      <c r="I30" s="2"/>
      <c r="J30" s="2"/>
      <c r="K30" s="5"/>
      <c r="L30" s="5"/>
      <c r="N30" s="5"/>
      <c r="O30" s="5"/>
      <c r="P30" s="5"/>
      <c r="Q30" s="5"/>
    </row>
    <row r="31" spans="1:72" ht="15" x14ac:dyDescent="0.25">
      <c r="F31" s="42" t="s">
        <v>49</v>
      </c>
      <c r="G31" s="42"/>
      <c r="H31" s="2"/>
      <c r="I31" s="2"/>
      <c r="J31" s="2"/>
      <c r="K31" s="5"/>
      <c r="L31" s="5"/>
      <c r="N31" s="5"/>
      <c r="O31" s="5"/>
      <c r="P31" s="5"/>
      <c r="Q31" s="5"/>
    </row>
    <row r="32" spans="1:72" ht="15" x14ac:dyDescent="0.25">
      <c r="F32" s="43" t="s">
        <v>50</v>
      </c>
      <c r="G32" s="43"/>
      <c r="H32" s="2"/>
      <c r="I32" s="2"/>
      <c r="J32" s="2"/>
      <c r="K32" s="5"/>
      <c r="L32" s="5"/>
      <c r="N32" s="5"/>
      <c r="O32" s="5"/>
      <c r="P32" s="5"/>
      <c r="Q32" s="5"/>
    </row>
  </sheetData>
  <mergeCells count="38">
    <mergeCell ref="F21:F22"/>
    <mergeCell ref="A15:A16"/>
    <mergeCell ref="B15:B16"/>
    <mergeCell ref="D15:D16"/>
    <mergeCell ref="F15:H15"/>
    <mergeCell ref="H21:K21"/>
    <mergeCell ref="BC13:BV13"/>
    <mergeCell ref="A14:D14"/>
    <mergeCell ref="F14:H14"/>
    <mergeCell ref="K14:K16"/>
    <mergeCell ref="Q14:S14"/>
    <mergeCell ref="T14:W14"/>
    <mergeCell ref="V15:V16"/>
    <mergeCell ref="W15:W16"/>
    <mergeCell ref="Q15:S15"/>
    <mergeCell ref="M14:O14"/>
    <mergeCell ref="M15:O15"/>
    <mergeCell ref="T15:T16"/>
    <mergeCell ref="U15:U16"/>
    <mergeCell ref="AI13:BA13"/>
    <mergeCell ref="A6:D6"/>
    <mergeCell ref="A8:D8"/>
    <mergeCell ref="A10:D10"/>
    <mergeCell ref="A12:D12"/>
    <mergeCell ref="A1:D4"/>
    <mergeCell ref="F6:W6"/>
    <mergeCell ref="L17:M17"/>
    <mergeCell ref="H19:H20"/>
    <mergeCell ref="F1:U4"/>
    <mergeCell ref="V3:W3"/>
    <mergeCell ref="V2:W2"/>
    <mergeCell ref="V1:W1"/>
    <mergeCell ref="V4:W4"/>
    <mergeCell ref="X17:X19"/>
    <mergeCell ref="U17:U19"/>
    <mergeCell ref="F12:W12"/>
    <mergeCell ref="F10:W10"/>
    <mergeCell ref="F8:W8"/>
  </mergeCells>
  <conditionalFormatting sqref="J17 N17">
    <cfRule type="containsText" dxfId="71" priority="1" operator="containsText" text="E">
      <formula>NOT(ISERROR(SEARCH("E",J17)))</formula>
    </cfRule>
    <cfRule type="containsText" dxfId="70" priority="2" operator="containsText" text="M">
      <formula>NOT(ISERROR(SEARCH("M",J17)))</formula>
    </cfRule>
    <cfRule type="containsText" dxfId="69" priority="3" operator="containsText" text="A">
      <formula>NOT(ISERROR(SEARCH("A",J17)))</formula>
    </cfRule>
    <cfRule type="containsText" dxfId="68" priority="4" operator="containsText" text="B">
      <formula>NOT(ISERROR(SEARCH("B",J17)))</formula>
    </cfRule>
  </conditionalFormatting>
  <dataValidations count="3">
    <dataValidation type="list" allowBlank="1" showInputMessage="1" showErrorMessage="1" sqref="M18:P18">
      <formula1>#REF!</formula1>
    </dataValidation>
    <dataValidation type="list" allowBlank="1" showInputMessage="1" showErrorMessage="1" sqref="Q18:R18">
      <formula1>$J$29:$J$32</formula1>
    </dataValidation>
    <dataValidation type="list" allowBlank="1" showInputMessage="1" showErrorMessage="1" promptTitle="AFECTA A:" prompt="Seleccione según a quien afecte el control" sqref="L17:M17">
      <formula1>#REF!</formula1>
    </dataValidation>
  </dataValidations>
  <pageMargins left="0.7" right="0.7" top="0.75" bottom="0.75" header="0.3" footer="0.3"/>
  <pageSetup scale="1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30"/>
  <sheetViews>
    <sheetView showGridLines="0" view="pageBreakPreview" topLeftCell="M6" zoomScaleNormal="85" zoomScaleSheetLayoutView="100" workbookViewId="0">
      <selection activeCell="F12" sqref="F12:W12"/>
    </sheetView>
  </sheetViews>
  <sheetFormatPr baseColWidth="10" defaultColWidth="11.42578125" defaultRowHeight="14.25" x14ac:dyDescent="0.25"/>
  <cols>
    <col min="1" max="1" width="41.28515625" style="2" customWidth="1"/>
    <col min="2" max="5" width="40.42578125" style="2" customWidth="1"/>
    <col min="6" max="7" width="27" style="5" customWidth="1"/>
    <col min="8" max="9" width="19" style="5" customWidth="1"/>
    <col min="10" max="10" width="26.7109375" style="5" customWidth="1"/>
    <col min="11" max="11" width="29.7109375" style="2" customWidth="1"/>
    <col min="12" max="12" width="17.7109375" style="5" customWidth="1"/>
    <col min="13" max="13" width="18.5703125" style="2" customWidth="1"/>
    <col min="14" max="15" width="21.7109375" style="2" customWidth="1"/>
    <col min="16" max="16" width="19.85546875" style="2" customWidth="1"/>
    <col min="17" max="17" width="30.7109375" style="2" customWidth="1"/>
    <col min="18" max="18" width="17" style="2" customWidth="1"/>
    <col min="19" max="19" width="16.5703125" style="5" customWidth="1"/>
    <col min="20" max="20" width="39.42578125" style="2" customWidth="1"/>
    <col min="21" max="21" width="30.42578125" style="2" customWidth="1"/>
    <col min="22" max="22" width="45.42578125" style="2" customWidth="1"/>
    <col min="23" max="23" width="37.42578125" style="406" customWidth="1"/>
    <col min="24" max="24" width="45.42578125" style="115" customWidth="1"/>
    <col min="25" max="25" width="30.42578125" style="2" customWidth="1"/>
    <col min="26" max="26" width="36" style="2" hidden="1" customWidth="1"/>
    <col min="27" max="75" width="11.42578125" style="2" hidden="1" customWidth="1"/>
    <col min="76" max="16384" width="11.42578125" style="2"/>
  </cols>
  <sheetData>
    <row r="1" spans="1:74" ht="21" customHeight="1" x14ac:dyDescent="0.25">
      <c r="A1" s="573"/>
      <c r="B1" s="573"/>
      <c r="C1" s="573"/>
      <c r="D1" s="573"/>
      <c r="E1" s="72"/>
      <c r="F1" s="574" t="s">
        <v>0</v>
      </c>
      <c r="G1" s="575"/>
      <c r="H1" s="575"/>
      <c r="I1" s="575"/>
      <c r="J1" s="575"/>
      <c r="K1" s="575"/>
      <c r="L1" s="575"/>
      <c r="M1" s="575"/>
      <c r="N1" s="575"/>
      <c r="O1" s="575"/>
      <c r="P1" s="575"/>
      <c r="Q1" s="575"/>
      <c r="R1" s="575"/>
      <c r="S1" s="575"/>
      <c r="T1" s="576"/>
      <c r="U1" s="583" t="s">
        <v>223</v>
      </c>
      <c r="V1" s="584"/>
      <c r="W1" s="310"/>
      <c r="X1" s="310"/>
      <c r="Y1" s="1"/>
      <c r="Z1" s="1"/>
    </row>
    <row r="2" spans="1:74" ht="22.5" customHeight="1" x14ac:dyDescent="0.25">
      <c r="A2" s="573"/>
      <c r="B2" s="573"/>
      <c r="C2" s="573"/>
      <c r="D2" s="573"/>
      <c r="E2" s="73"/>
      <c r="F2" s="577"/>
      <c r="G2" s="578"/>
      <c r="H2" s="578"/>
      <c r="I2" s="578"/>
      <c r="J2" s="578"/>
      <c r="K2" s="578"/>
      <c r="L2" s="578"/>
      <c r="M2" s="578"/>
      <c r="N2" s="578"/>
      <c r="O2" s="578"/>
      <c r="P2" s="578"/>
      <c r="Q2" s="578"/>
      <c r="R2" s="578"/>
      <c r="S2" s="578"/>
      <c r="T2" s="579"/>
      <c r="U2" s="583" t="s">
        <v>149</v>
      </c>
      <c r="V2" s="584"/>
      <c r="W2" s="310"/>
      <c r="X2" s="310"/>
      <c r="Y2" s="1"/>
      <c r="Z2" s="1"/>
    </row>
    <row r="3" spans="1:74" ht="21" customHeight="1" x14ac:dyDescent="0.25">
      <c r="A3" s="573"/>
      <c r="B3" s="573"/>
      <c r="C3" s="573"/>
      <c r="D3" s="573"/>
      <c r="E3" s="73"/>
      <c r="F3" s="577"/>
      <c r="G3" s="578"/>
      <c r="H3" s="578"/>
      <c r="I3" s="578"/>
      <c r="J3" s="578"/>
      <c r="K3" s="578"/>
      <c r="L3" s="578"/>
      <c r="M3" s="578"/>
      <c r="N3" s="578"/>
      <c r="O3" s="578"/>
      <c r="P3" s="578"/>
      <c r="Q3" s="578"/>
      <c r="R3" s="578"/>
      <c r="S3" s="578"/>
      <c r="T3" s="579"/>
      <c r="U3" s="583" t="s">
        <v>150</v>
      </c>
      <c r="V3" s="584"/>
      <c r="W3" s="310"/>
      <c r="X3" s="310"/>
      <c r="Y3" s="1"/>
      <c r="Z3" s="1"/>
    </row>
    <row r="4" spans="1:74" ht="20.25" customHeight="1" x14ac:dyDescent="0.25">
      <c r="A4" s="573"/>
      <c r="B4" s="573"/>
      <c r="C4" s="573"/>
      <c r="D4" s="573"/>
      <c r="E4" s="74"/>
      <c r="F4" s="580"/>
      <c r="G4" s="581"/>
      <c r="H4" s="581"/>
      <c r="I4" s="581"/>
      <c r="J4" s="581"/>
      <c r="K4" s="581"/>
      <c r="L4" s="581"/>
      <c r="M4" s="581"/>
      <c r="N4" s="581"/>
      <c r="O4" s="581"/>
      <c r="P4" s="581"/>
      <c r="Q4" s="581"/>
      <c r="R4" s="581"/>
      <c r="S4" s="581"/>
      <c r="T4" s="582"/>
      <c r="U4" s="583" t="s">
        <v>1</v>
      </c>
      <c r="V4" s="584"/>
      <c r="W4" s="310"/>
      <c r="X4" s="310"/>
      <c r="Y4" s="1"/>
      <c r="Z4" s="1"/>
    </row>
    <row r="5" spans="1:74" ht="8.25" customHeight="1" x14ac:dyDescent="0.25">
      <c r="B5" s="3"/>
      <c r="C5" s="3"/>
      <c r="D5" s="3"/>
      <c r="E5" s="3"/>
      <c r="F5" s="4"/>
      <c r="G5" s="4"/>
      <c r="H5" s="4"/>
      <c r="I5" s="4"/>
      <c r="J5" s="4"/>
      <c r="K5" s="4"/>
      <c r="L5" s="4"/>
      <c r="M5" s="4"/>
      <c r="N5" s="4"/>
      <c r="O5" s="4"/>
      <c r="P5" s="4"/>
      <c r="Q5" s="4"/>
      <c r="Y5" s="6"/>
      <c r="Z5" s="6"/>
    </row>
    <row r="6" spans="1:74" ht="15" x14ac:dyDescent="0.25">
      <c r="A6" s="553" t="s">
        <v>2</v>
      </c>
      <c r="B6" s="553"/>
      <c r="C6" s="553"/>
      <c r="D6" s="553"/>
      <c r="E6" s="75"/>
      <c r="F6" s="567" t="str">
        <f>[10]IdentRiesgo!B2</f>
        <v>Gestión Financiera-Contabilidad</v>
      </c>
      <c r="G6" s="568"/>
      <c r="H6" s="568"/>
      <c r="I6" s="568"/>
      <c r="J6" s="568"/>
      <c r="K6" s="568"/>
      <c r="L6" s="568"/>
      <c r="M6" s="568"/>
      <c r="N6" s="568"/>
      <c r="O6" s="568"/>
      <c r="P6" s="568"/>
      <c r="Q6" s="568"/>
      <c r="R6" s="568"/>
      <c r="S6" s="568"/>
      <c r="T6" s="568"/>
      <c r="U6" s="568"/>
      <c r="V6" s="569"/>
      <c r="W6" s="141"/>
      <c r="X6" s="141"/>
      <c r="Y6" s="6"/>
      <c r="Z6" s="6"/>
    </row>
    <row r="7" spans="1:74" ht="6.75" customHeight="1" x14ac:dyDescent="0.25">
      <c r="B7" s="3"/>
      <c r="C7" s="3"/>
      <c r="D7" s="3"/>
      <c r="E7" s="3"/>
      <c r="F7" s="7"/>
      <c r="G7" s="7"/>
      <c r="H7" s="7"/>
      <c r="I7" s="7"/>
      <c r="J7" s="7"/>
      <c r="K7" s="7"/>
      <c r="L7" s="7"/>
      <c r="M7" s="7"/>
      <c r="N7" s="7"/>
      <c r="O7" s="7"/>
      <c r="P7" s="7"/>
      <c r="Q7" s="7"/>
      <c r="R7" s="8"/>
      <c r="S7" s="8"/>
      <c r="T7" s="8"/>
      <c r="U7" s="8"/>
      <c r="V7" s="8"/>
      <c r="W7" s="8"/>
      <c r="X7" s="8"/>
      <c r="Y7" s="6"/>
      <c r="Z7" s="6"/>
    </row>
    <row r="8" spans="1:74" ht="39.75" customHeight="1" x14ac:dyDescent="0.25">
      <c r="A8" s="553" t="s">
        <v>3</v>
      </c>
      <c r="B8" s="553"/>
      <c r="C8" s="553"/>
      <c r="D8" s="553"/>
      <c r="E8" s="75"/>
      <c r="F8" s="570" t="str">
        <f>[10]IdentRiesgo!B3</f>
        <v>Asegurar la oportuna provisión de recursos financieros necesarios para el autosostenimiento y desempeño eficaz y eficiente de la gestión financiera de la entidad mediante el registro de la ejecución presupuestal, la presentación de estados financieros y el recaudo de los ingresos y el pago de los compromisos.</v>
      </c>
      <c r="G8" s="571"/>
      <c r="H8" s="571"/>
      <c r="I8" s="571"/>
      <c r="J8" s="571"/>
      <c r="K8" s="571"/>
      <c r="L8" s="571"/>
      <c r="M8" s="571"/>
      <c r="N8" s="571"/>
      <c r="O8" s="571"/>
      <c r="P8" s="571"/>
      <c r="Q8" s="571"/>
      <c r="R8" s="571"/>
      <c r="S8" s="571"/>
      <c r="T8" s="571"/>
      <c r="U8" s="571"/>
      <c r="V8" s="572"/>
      <c r="W8" s="311"/>
      <c r="X8" s="311"/>
      <c r="Y8" s="9"/>
      <c r="Z8" s="9"/>
    </row>
    <row r="9" spans="1:74" ht="6.75" customHeight="1" x14ac:dyDescent="0.25">
      <c r="B9" s="10"/>
      <c r="C9" s="10"/>
      <c r="D9" s="10"/>
      <c r="E9" s="10"/>
      <c r="F9" s="11"/>
      <c r="G9" s="11"/>
      <c r="H9" s="11"/>
      <c r="I9" s="11"/>
      <c r="J9" s="11"/>
      <c r="K9" s="11"/>
      <c r="L9" s="11"/>
      <c r="M9" s="11"/>
      <c r="N9" s="11"/>
      <c r="O9" s="11"/>
      <c r="P9" s="11"/>
      <c r="Q9" s="11"/>
      <c r="R9" s="8"/>
      <c r="S9" s="8"/>
      <c r="T9" s="8"/>
      <c r="U9" s="8"/>
      <c r="V9" s="8"/>
      <c r="W9" s="8"/>
      <c r="X9" s="8"/>
      <c r="Y9" s="6"/>
      <c r="Z9" s="6"/>
    </row>
    <row r="10" spans="1:74" ht="15" x14ac:dyDescent="0.25">
      <c r="A10" s="553" t="s">
        <v>4</v>
      </c>
      <c r="B10" s="553"/>
      <c r="C10" s="553"/>
      <c r="D10" s="553"/>
      <c r="E10" s="75"/>
      <c r="F10" s="554" t="s">
        <v>193</v>
      </c>
      <c r="G10" s="555"/>
      <c r="H10" s="555"/>
      <c r="I10" s="555"/>
      <c r="J10" s="555"/>
      <c r="K10" s="555"/>
      <c r="L10" s="555"/>
      <c r="M10" s="555"/>
      <c r="N10" s="555"/>
      <c r="O10" s="555"/>
      <c r="P10" s="555"/>
      <c r="Q10" s="555"/>
      <c r="R10" s="555"/>
      <c r="S10" s="555"/>
      <c r="T10" s="555"/>
      <c r="U10" s="555"/>
      <c r="V10" s="556"/>
      <c r="W10" s="121"/>
      <c r="X10" s="121"/>
      <c r="Y10" s="12"/>
      <c r="Z10" s="12"/>
    </row>
    <row r="11" spans="1:74" ht="5.25" customHeight="1" x14ac:dyDescent="0.25">
      <c r="B11" s="3"/>
      <c r="C11" s="3"/>
      <c r="D11" s="3"/>
      <c r="E11" s="3"/>
      <c r="F11" s="13"/>
      <c r="G11" s="13"/>
      <c r="H11" s="13"/>
      <c r="I11" s="13"/>
      <c r="J11" s="13"/>
      <c r="K11" s="13"/>
      <c r="L11" s="13"/>
      <c r="M11" s="13"/>
      <c r="N11" s="13"/>
      <c r="O11" s="13"/>
      <c r="P11" s="13"/>
      <c r="Q11" s="13"/>
      <c r="R11" s="8"/>
      <c r="S11" s="8"/>
      <c r="T11" s="8"/>
      <c r="U11" s="8"/>
      <c r="V11" s="8"/>
      <c r="W11" s="8"/>
      <c r="X11" s="8"/>
      <c r="Y11" s="6"/>
      <c r="Z11" s="6"/>
    </row>
    <row r="12" spans="1:74" ht="15" x14ac:dyDescent="0.25">
      <c r="A12" s="553" t="s">
        <v>5</v>
      </c>
      <c r="B12" s="553"/>
      <c r="C12" s="553"/>
      <c r="D12" s="553"/>
      <c r="E12" s="75"/>
      <c r="F12" s="554" t="s">
        <v>300</v>
      </c>
      <c r="G12" s="555"/>
      <c r="H12" s="555"/>
      <c r="I12" s="555"/>
      <c r="J12" s="555"/>
      <c r="K12" s="555"/>
      <c r="L12" s="555"/>
      <c r="M12" s="555"/>
      <c r="N12" s="555"/>
      <c r="O12" s="555"/>
      <c r="P12" s="555"/>
      <c r="Q12" s="555"/>
      <c r="R12" s="555"/>
      <c r="S12" s="555"/>
      <c r="T12" s="555"/>
      <c r="U12" s="555"/>
      <c r="V12" s="555"/>
      <c r="W12" s="556"/>
      <c r="X12" s="121"/>
      <c r="Y12" s="12"/>
      <c r="Z12" s="12"/>
      <c r="AC12" s="2" t="s">
        <v>6</v>
      </c>
    </row>
    <row r="13" spans="1:74" ht="15.75" thickBot="1" x14ac:dyDescent="0.3">
      <c r="B13" s="3"/>
      <c r="C13" s="3"/>
      <c r="D13" s="3"/>
      <c r="E13" s="3"/>
      <c r="F13" s="14"/>
      <c r="G13" s="14"/>
      <c r="H13" s="15"/>
      <c r="I13" s="15"/>
      <c r="J13" s="15"/>
      <c r="K13" s="7"/>
      <c r="L13" s="15"/>
      <c r="M13" s="7"/>
      <c r="N13" s="7"/>
      <c r="O13" s="7"/>
      <c r="P13" s="7"/>
      <c r="Q13" s="7"/>
      <c r="R13" s="7"/>
      <c r="S13" s="15"/>
      <c r="T13" s="7"/>
      <c r="Y13" s="6"/>
      <c r="Z13" s="6"/>
      <c r="AC13" s="2" t="s">
        <v>7</v>
      </c>
      <c r="AI13" s="557" t="s">
        <v>8</v>
      </c>
      <c r="AJ13" s="557"/>
      <c r="AK13" s="557"/>
      <c r="AL13" s="557"/>
      <c r="AM13" s="557"/>
      <c r="AN13" s="557"/>
      <c r="AO13" s="557"/>
      <c r="AP13" s="557"/>
      <c r="AQ13" s="557"/>
      <c r="AR13" s="557"/>
      <c r="AS13" s="557"/>
      <c r="AT13" s="557"/>
      <c r="AU13" s="557"/>
      <c r="AV13" s="557"/>
      <c r="AW13" s="557"/>
      <c r="AX13" s="557"/>
      <c r="AY13" s="557"/>
      <c r="AZ13" s="557"/>
      <c r="BA13" s="557"/>
      <c r="BC13" s="557" t="s">
        <v>9</v>
      </c>
      <c r="BD13" s="557"/>
      <c r="BE13" s="557"/>
      <c r="BF13" s="557"/>
      <c r="BG13" s="557"/>
      <c r="BH13" s="557"/>
      <c r="BI13" s="557"/>
      <c r="BJ13" s="557"/>
      <c r="BK13" s="557"/>
      <c r="BL13" s="557"/>
      <c r="BM13" s="557"/>
      <c r="BN13" s="557"/>
      <c r="BO13" s="557"/>
      <c r="BP13" s="557"/>
      <c r="BQ13" s="557"/>
      <c r="BR13" s="557"/>
      <c r="BS13" s="557"/>
      <c r="BT13" s="557"/>
      <c r="BU13" s="557"/>
      <c r="BV13" s="557"/>
    </row>
    <row r="14" spans="1:74" s="17" customFormat="1" ht="15" customHeight="1" x14ac:dyDescent="0.25">
      <c r="A14" s="558" t="s">
        <v>10</v>
      </c>
      <c r="B14" s="559"/>
      <c r="C14" s="559"/>
      <c r="D14" s="560"/>
      <c r="E14" s="76"/>
      <c r="F14" s="561" t="s">
        <v>11</v>
      </c>
      <c r="G14" s="561"/>
      <c r="H14" s="561"/>
      <c r="I14" s="16"/>
      <c r="J14" s="16"/>
      <c r="K14" s="562" t="s">
        <v>12</v>
      </c>
      <c r="L14" s="558" t="s">
        <v>13</v>
      </c>
      <c r="M14" s="559"/>
      <c r="N14" s="560"/>
      <c r="O14" s="93"/>
      <c r="P14" s="565" t="s">
        <v>14</v>
      </c>
      <c r="Q14" s="565"/>
      <c r="R14" s="565"/>
      <c r="S14" s="565" t="s">
        <v>15</v>
      </c>
      <c r="T14" s="565"/>
      <c r="U14" s="565"/>
      <c r="V14" s="565"/>
      <c r="W14" s="312"/>
      <c r="X14" s="312"/>
    </row>
    <row r="15" spans="1:74" s="17" customFormat="1" ht="14.25" customHeight="1" x14ac:dyDescent="0.25">
      <c r="A15" s="563" t="s">
        <v>16</v>
      </c>
      <c r="B15" s="563" t="s">
        <v>17</v>
      </c>
      <c r="C15" s="94"/>
      <c r="D15" s="563" t="s">
        <v>18</v>
      </c>
      <c r="E15" s="94"/>
      <c r="F15" s="543" t="s">
        <v>19</v>
      </c>
      <c r="G15" s="543"/>
      <c r="H15" s="543"/>
      <c r="I15" s="97"/>
      <c r="J15" s="18"/>
      <c r="K15" s="563"/>
      <c r="L15" s="548" t="s">
        <v>20</v>
      </c>
      <c r="M15" s="549"/>
      <c r="N15" s="550"/>
      <c r="O15" s="98"/>
      <c r="P15" s="548" t="s">
        <v>21</v>
      </c>
      <c r="Q15" s="549"/>
      <c r="R15" s="550"/>
      <c r="S15" s="543" t="s">
        <v>22</v>
      </c>
      <c r="T15" s="543" t="s">
        <v>23</v>
      </c>
      <c r="U15" s="543" t="s">
        <v>4</v>
      </c>
      <c r="V15" s="543" t="s">
        <v>24</v>
      </c>
      <c r="W15" s="422"/>
      <c r="X15" s="285"/>
    </row>
    <row r="16" spans="1:74" s="17" customFormat="1" ht="63" customHeight="1" x14ac:dyDescent="0.25">
      <c r="A16" s="566"/>
      <c r="B16" s="566"/>
      <c r="C16" s="96" t="s">
        <v>70</v>
      </c>
      <c r="D16" s="566"/>
      <c r="E16" s="96" t="s">
        <v>71</v>
      </c>
      <c r="F16" s="18" t="s">
        <v>25</v>
      </c>
      <c r="G16" s="97" t="s">
        <v>70</v>
      </c>
      <c r="H16" s="18" t="s">
        <v>9</v>
      </c>
      <c r="I16" s="97" t="s">
        <v>70</v>
      </c>
      <c r="J16" s="18" t="s">
        <v>26</v>
      </c>
      <c r="K16" s="564"/>
      <c r="L16" s="19" t="s">
        <v>25</v>
      </c>
      <c r="M16" s="19" t="s">
        <v>9</v>
      </c>
      <c r="N16" s="20" t="s">
        <v>26</v>
      </c>
      <c r="O16" s="96" t="s">
        <v>74</v>
      </c>
      <c r="P16" s="18" t="s">
        <v>27</v>
      </c>
      <c r="Q16" s="18" t="s">
        <v>23</v>
      </c>
      <c r="R16" s="18" t="s">
        <v>28</v>
      </c>
      <c r="S16" s="543"/>
      <c r="T16" s="543"/>
      <c r="U16" s="543"/>
      <c r="V16" s="543"/>
      <c r="W16" s="422"/>
      <c r="X16" s="285"/>
    </row>
    <row r="17" spans="1:24" ht="151.5" customHeight="1" x14ac:dyDescent="0.25">
      <c r="A17" s="105" t="s">
        <v>258</v>
      </c>
      <c r="B17" s="105" t="str">
        <f>+[11]MapaRiesgos!$B$21</f>
        <v>Favorecimiento económico a terceros en los procesos contractuales que adelanta del Instituto.</v>
      </c>
      <c r="C17" s="105" t="str">
        <f>+[11]MapaRiesgos!$C$21</f>
        <v>Establecer los indicadores financieros de las diferentes procesos contractuales sin el debido análisis del sector económico y el cumplimiento del Manual para determinar y verificar los requisitos habilitantes en los Procesos de Contratación de Colombia Compra Eficiente.</v>
      </c>
      <c r="D17" s="105" t="str">
        <f>+[11]MapaRiesgos!$D$21</f>
        <v>Acto de corrupción del funcionario y/o contratista del Grupo de Contabilidad.
Sanciones disciplinarias, penales y fiscales por parte de los entes de control.</v>
      </c>
      <c r="E17" s="107" t="str">
        <f>+[11]MapaRiesgos!$E$21</f>
        <v>RIESGO DE CORRUPCIÓN</v>
      </c>
      <c r="F17" s="260">
        <v>1</v>
      </c>
      <c r="G17" s="260" t="str">
        <f>IF(EXACT($F17,5),"Casí Seguro",IF(EXACT($F17,4),"Probable",IF(EXACT($F17,3),"Posible",IF(EXACT($F17,2),"Improbable","Rara Vez"))))</f>
        <v>Rara Vez</v>
      </c>
      <c r="H17" s="258">
        <f>IF(EXACT($B17,""),"",IF(EXACT($E17,"RIESGO DE GESTIÓN"),IF(EXACT([12]AnálisisRiesgos!$G13,"X"),5,IF(EXACT([12]AnálisisRiesgos!$H13,"X"),4,IF(EXACT([12]AnálisisRiesgos!$I13,"X"),3,IF(EXACT([12]AnálisisRiesgos!$J13,"X"),2,1)))),IF(EXACT([12]AnálisisRiesgos!$L13,"X"),20,IF(EXACT([12]AnálisisRiesgos!$M13,"X"),10,5))))</f>
        <v>10</v>
      </c>
      <c r="I17" s="106" t="str">
        <f>IF(EXACT($E17,"RIESGO DE GESTIÓN"),IF(EXACT($H17,1),"Insignificante",IF(EXACT($H17,2),"Menor",IF(EXACT($H17,3),"Moderado",IF(EXACT($H17,4),"Mayor","Catastrófico")))),IF(EXACT($H17,5),"Moderado",IF(EXACT($H17,10),"Mayor","Catastrófico")))</f>
        <v>Mayor</v>
      </c>
      <c r="J17" s="332" t="s">
        <v>39</v>
      </c>
      <c r="K17" s="112" t="str">
        <f>+[11]MapaRiesgos!$K$21</f>
        <v>Aplicación del Manual para determinar y verificar los requisitos habilitantes en los Procesos de Contratación de Colombia Compra Eficiente.</v>
      </c>
      <c r="L17" s="608" t="s">
        <v>9</v>
      </c>
      <c r="M17" s="609"/>
      <c r="N17" s="259" t="s">
        <v>39</v>
      </c>
      <c r="O17" s="109" t="s">
        <v>96</v>
      </c>
      <c r="P17" s="110" t="str">
        <f>+[11]MapaRiesgos!$P$22</f>
        <v>MENSUAL</v>
      </c>
      <c r="Q17" s="112" t="str">
        <f>+[11]MapaRiesgos!$Q$21</f>
        <v xml:space="preserve">Segregación de funciones y actividades entre la estructuración y evaluación de los indicadores de capacidad financiera para los procesos de contratación de la Entidad y la aprobación de los mismos.
</v>
      </c>
      <c r="R17" s="112" t="str">
        <f>+[11]MapaRiesgos!$R$21</f>
        <v>Procesos Contractuales que requieran requisitos habilitantes de capacidad financiera.</v>
      </c>
      <c r="S17" s="261"/>
      <c r="T17" s="111"/>
      <c r="U17" s="112" t="s">
        <v>209</v>
      </c>
      <c r="V17" s="113" t="s">
        <v>210</v>
      </c>
      <c r="W17" s="112"/>
      <c r="X17" s="313"/>
    </row>
    <row r="18" spans="1:24" ht="242.25" customHeight="1" x14ac:dyDescent="0.25">
      <c r="A18" s="107" t="str">
        <f>+[11]MapaRiesgos!$A$22</f>
        <v>Ofrecimiento de sobornos al funcionario encargado de la amortización de los anticipos generados en la contratación por la modalidad de selección de comisionistas, (Bolsa Mercantil).</v>
      </c>
      <c r="B18" s="107" t="str">
        <f>+[11]MapaRiesgos!$B$22</f>
        <v xml:space="preserve">Favorecer a los proveedores de los contratos suscritos a travès de la bolsa mercantil. </v>
      </c>
      <c r="C18" s="107" t="str">
        <f>IF(ISTEXT([12]IdentificaciónRiesgos!$B11),[12]IdentificaciónRiesgos!$C11,"")</f>
        <v>Autorizar los desembolsos a los proveedores de contratos con la bolsa mercantil sin el lleno de los requisitos legales.</v>
      </c>
      <c r="D18" s="107" t="str">
        <f>+[11]MapaRiesgos!$D$22</f>
        <v>Acto de corrupción del funcionario y/o contratista del Grupo de Contabilidad.
Sanciones disciplinarias, penales y fiscales por parte de los entes de control.</v>
      </c>
      <c r="E18" s="107" t="str">
        <f>IF(ISTEXT([12]IdentificaciónRiesgos!$B11),VLOOKUP($C18,[12]DefiniciónRiesgos!$A$4:$F$9,6,FALSE),"")</f>
        <v>RIESGO DE CORRUPCIÓN</v>
      </c>
      <c r="F18" s="260">
        <v>1</v>
      </c>
      <c r="G18" s="260" t="str">
        <f>IF(EXACT($F18,5),"Casí Seguro",IF(EXACT($F18,4),"Probable",IF(EXACT($F18,3),"Posible",IF(EXACT($F18,2),"Improbable","Rara Vez"))))</f>
        <v>Rara Vez</v>
      </c>
      <c r="H18" s="258">
        <f>IF(EXACT($B18,""),"",IF(EXACT($E18,"RIESGO DE GESTIÓN"),IF(EXACT([12]AnálisisRiesgos!$G14,"X"),5,IF(EXACT([12]AnálisisRiesgos!$H14,"X"),4,IF(EXACT([12]AnálisisRiesgos!$I14,"X"),3,IF(EXACT([12]AnálisisRiesgos!$J14,"X"),2,1)))),IF(EXACT([12]AnálisisRiesgos!$L14,"X"),20,IF(EXACT([12]AnálisisRiesgos!$M14,"X"),10,5))))</f>
        <v>10</v>
      </c>
      <c r="I18" s="258" t="str">
        <f>IF(EXACT($E18,"RIESGO DE GESTIÓN"),IF(EXACT($H18,1),"Insignificante",IF(EXACT($H18,2),"Menor",IF(EXACT($H18,3),"Moderado",IF(EXACT($H18,4),"Mayor","Catastrófico")))),IF(EXACT($H18,5),"Moderado",IF(EXACT($H18,10),"Mayor","Catastrófico")))</f>
        <v>Mayor</v>
      </c>
      <c r="J18" s="259" t="s">
        <v>39</v>
      </c>
      <c r="K18" s="108" t="str">
        <f>+[11]MapaRiesgos!$K$22</f>
        <v>Cuadro de control en Excel de amortización de anticipos.
Trazabilidad en el sistema de gestión documental Orfeo.</v>
      </c>
      <c r="L18" s="608" t="s">
        <v>9</v>
      </c>
      <c r="M18" s="609"/>
      <c r="N18" s="259" t="s">
        <v>39</v>
      </c>
      <c r="O18" s="109" t="s">
        <v>96</v>
      </c>
      <c r="P18" s="110" t="str">
        <f>+[11]MapaRiesgos!$P$22</f>
        <v>MENSUAL</v>
      </c>
      <c r="Q18" s="110" t="str">
        <f>+[11]MapaRiesgos!$Q$22</f>
        <v>Segregación de funciones entre el trámite y aprobación de los documentos en el SIIF Nación II.</v>
      </c>
      <c r="R18" s="110" t="str">
        <f>+[11]MapaRiesgos!$R$22</f>
        <v>Documento autorización del desembolso</v>
      </c>
      <c r="S18" s="261"/>
      <c r="T18" s="111"/>
      <c r="U18" s="112" t="str">
        <f>+[11]MapaRiesgos!$U$22</f>
        <v>contratista y Coordinador Grupo de Contabilidad</v>
      </c>
      <c r="V18" s="113" t="s">
        <v>210</v>
      </c>
      <c r="W18" s="112"/>
      <c r="X18" s="313"/>
    </row>
    <row r="19" spans="1:24" ht="149.25" customHeight="1" x14ac:dyDescent="0.25">
      <c r="A19" s="125"/>
      <c r="B19" s="126"/>
      <c r="C19" s="126"/>
      <c r="D19" s="126"/>
      <c r="E19" s="126"/>
      <c r="F19" s="606" t="s">
        <v>25</v>
      </c>
      <c r="G19" s="240"/>
      <c r="H19" s="607" t="s">
        <v>9</v>
      </c>
      <c r="I19" s="607"/>
      <c r="J19" s="607"/>
      <c r="K19" s="607"/>
      <c r="L19" s="125"/>
      <c r="M19" s="223"/>
      <c r="N19" s="331"/>
      <c r="O19" s="223"/>
      <c r="P19" s="223"/>
      <c r="Q19" s="238"/>
      <c r="R19" s="223"/>
      <c r="S19" s="223"/>
      <c r="T19" s="223"/>
    </row>
    <row r="20" spans="1:24" ht="128.25" customHeight="1" x14ac:dyDescent="0.25">
      <c r="A20" s="316"/>
      <c r="B20" s="327" t="s">
        <v>33</v>
      </c>
      <c r="C20" s="327"/>
      <c r="D20" s="327"/>
      <c r="E20" s="327"/>
      <c r="F20" s="606"/>
      <c r="G20" s="240"/>
      <c r="H20" s="328" t="s">
        <v>34</v>
      </c>
      <c r="I20" s="328"/>
      <c r="J20" s="329" t="s">
        <v>35</v>
      </c>
      <c r="K20" s="328" t="s">
        <v>36</v>
      </c>
      <c r="L20" s="330"/>
      <c r="M20" s="125"/>
      <c r="N20" s="125"/>
      <c r="O20" s="125"/>
      <c r="P20" s="125"/>
      <c r="Q20" s="316"/>
      <c r="R20" s="125"/>
      <c r="S20" s="125"/>
      <c r="T20" s="125"/>
      <c r="U20" s="125"/>
      <c r="V20" s="125"/>
      <c r="W20" s="407"/>
      <c r="X20" s="125"/>
    </row>
    <row r="21" spans="1:24" ht="32.25" customHeight="1" thickBot="1" x14ac:dyDescent="0.3">
      <c r="B21" s="5" t="s">
        <v>37</v>
      </c>
      <c r="C21" s="5"/>
      <c r="F21" s="324" t="s">
        <v>38</v>
      </c>
      <c r="G21" s="324"/>
      <c r="H21" s="325" t="s">
        <v>39</v>
      </c>
      <c r="I21" s="325"/>
      <c r="J21" s="325" t="s">
        <v>39</v>
      </c>
      <c r="K21" s="326" t="s">
        <v>40</v>
      </c>
      <c r="L21" s="2"/>
      <c r="M21" s="125"/>
      <c r="N21" s="125"/>
      <c r="O21" s="125"/>
      <c r="P21" s="125"/>
      <c r="Q21" s="316"/>
      <c r="R21" s="125"/>
      <c r="S21" s="125"/>
      <c r="T21" s="125"/>
      <c r="U21" s="125"/>
      <c r="V21" s="125"/>
      <c r="W21" s="407"/>
      <c r="X21" s="125"/>
    </row>
    <row r="22" spans="1:24" ht="15.75" thickBot="1" x14ac:dyDescent="0.3">
      <c r="F22" s="35" t="s">
        <v>41</v>
      </c>
      <c r="G22" s="35"/>
      <c r="H22" s="36" t="s">
        <v>39</v>
      </c>
      <c r="I22" s="36"/>
      <c r="J22" s="37" t="s">
        <v>40</v>
      </c>
      <c r="K22" s="38" t="s">
        <v>42</v>
      </c>
      <c r="L22" s="2"/>
      <c r="M22" s="125"/>
      <c r="N22" s="125"/>
      <c r="O22" s="125"/>
      <c r="P22" s="125"/>
      <c r="Q22" s="316"/>
      <c r="R22" s="125"/>
      <c r="S22" s="125"/>
      <c r="T22" s="125"/>
      <c r="U22" s="125"/>
      <c r="V22" s="125"/>
      <c r="W22" s="407"/>
      <c r="X22" s="125"/>
    </row>
    <row r="23" spans="1:24" ht="15.75" thickBot="1" x14ac:dyDescent="0.3">
      <c r="F23" s="35" t="s">
        <v>43</v>
      </c>
      <c r="G23" s="35"/>
      <c r="H23" s="37" t="s">
        <v>40</v>
      </c>
      <c r="I23" s="37"/>
      <c r="J23" s="38" t="s">
        <v>42</v>
      </c>
      <c r="K23" s="39" t="s">
        <v>44</v>
      </c>
      <c r="L23" s="2"/>
      <c r="M23" s="125"/>
      <c r="N23" s="125"/>
      <c r="O23" s="125"/>
      <c r="P23" s="125"/>
      <c r="Q23" s="316"/>
      <c r="R23" s="125"/>
      <c r="S23" s="125"/>
      <c r="T23" s="125"/>
      <c r="U23" s="125"/>
      <c r="V23" s="125"/>
      <c r="W23" s="407"/>
      <c r="X23" s="125"/>
    </row>
    <row r="24" spans="1:24" ht="15.75" thickBot="1" x14ac:dyDescent="0.3">
      <c r="F24" s="35" t="s">
        <v>45</v>
      </c>
      <c r="G24" s="35"/>
      <c r="H24" s="37" t="s">
        <v>40</v>
      </c>
      <c r="I24" s="37"/>
      <c r="J24" s="38" t="s">
        <v>42</v>
      </c>
      <c r="K24" s="39" t="s">
        <v>44</v>
      </c>
      <c r="L24" s="2"/>
      <c r="M24" s="125"/>
      <c r="N24" s="125"/>
      <c r="O24" s="125"/>
      <c r="P24" s="125"/>
      <c r="Q24" s="316"/>
      <c r="R24" s="125"/>
      <c r="S24" s="125"/>
      <c r="T24" s="125"/>
      <c r="U24" s="125"/>
      <c r="V24" s="125"/>
      <c r="W24" s="407"/>
      <c r="X24" s="125"/>
    </row>
    <row r="25" spans="1:24" ht="15.75" thickBot="1" x14ac:dyDescent="0.3">
      <c r="F25" s="35" t="s">
        <v>46</v>
      </c>
      <c r="G25" s="35"/>
      <c r="H25" s="37" t="s">
        <v>40</v>
      </c>
      <c r="I25" s="37"/>
      <c r="J25" s="38" t="s">
        <v>42</v>
      </c>
      <c r="K25" s="39" t="s">
        <v>44</v>
      </c>
      <c r="L25" s="2"/>
      <c r="M25" s="125"/>
      <c r="N25" s="125"/>
      <c r="O25" s="125"/>
      <c r="P25" s="125"/>
      <c r="Q25" s="316"/>
      <c r="R25" s="125"/>
      <c r="S25" s="125"/>
      <c r="T25" s="125"/>
      <c r="U25" s="125"/>
      <c r="V25" s="125"/>
      <c r="W25" s="407"/>
      <c r="X25" s="125"/>
    </row>
    <row r="26" spans="1:24" x14ac:dyDescent="0.25">
      <c r="F26" s="2"/>
      <c r="G26" s="2"/>
      <c r="H26" s="2"/>
      <c r="I26" s="2"/>
      <c r="J26" s="2"/>
      <c r="K26" s="5"/>
      <c r="M26" s="316"/>
      <c r="N26" s="125"/>
      <c r="O26" s="125"/>
      <c r="P26" s="125"/>
      <c r="Q26" s="125"/>
      <c r="R26" s="125"/>
      <c r="S26" s="316"/>
      <c r="T26" s="125"/>
      <c r="U26" s="125"/>
      <c r="V26" s="125"/>
      <c r="W26" s="407"/>
      <c r="X26" s="125"/>
    </row>
    <row r="27" spans="1:24" ht="15" x14ac:dyDescent="0.25">
      <c r="F27" s="40" t="s">
        <v>47</v>
      </c>
      <c r="G27" s="40"/>
      <c r="H27" s="2"/>
      <c r="I27" s="2"/>
      <c r="J27" s="2"/>
      <c r="K27" s="5"/>
      <c r="M27" s="316"/>
      <c r="N27" s="316"/>
      <c r="O27" s="316"/>
      <c r="P27" s="316"/>
      <c r="Q27" s="125"/>
      <c r="R27" s="125"/>
      <c r="S27" s="316"/>
      <c r="T27" s="125"/>
      <c r="U27" s="125"/>
      <c r="V27" s="125"/>
      <c r="W27" s="407"/>
      <c r="X27" s="125"/>
    </row>
    <row r="28" spans="1:24" ht="15" x14ac:dyDescent="0.25">
      <c r="F28" s="41" t="s">
        <v>48</v>
      </c>
      <c r="G28" s="41"/>
      <c r="H28" s="2"/>
      <c r="I28" s="2"/>
      <c r="J28" s="2"/>
      <c r="K28" s="5"/>
      <c r="M28" s="316"/>
      <c r="N28" s="316"/>
      <c r="O28" s="316"/>
      <c r="P28" s="316"/>
      <c r="Q28" s="125"/>
      <c r="R28" s="125"/>
      <c r="S28" s="316"/>
      <c r="T28" s="125"/>
      <c r="U28" s="125"/>
      <c r="V28" s="125"/>
      <c r="W28" s="407"/>
      <c r="X28" s="125"/>
    </row>
    <row r="29" spans="1:24" ht="15" x14ac:dyDescent="0.25">
      <c r="F29" s="42" t="s">
        <v>49</v>
      </c>
      <c r="G29" s="42"/>
      <c r="H29" s="2"/>
      <c r="I29" s="2"/>
      <c r="J29" s="2"/>
      <c r="K29" s="5"/>
      <c r="M29" s="316"/>
      <c r="N29" s="316"/>
      <c r="O29" s="316"/>
      <c r="P29" s="316"/>
      <c r="Q29" s="125"/>
      <c r="R29" s="125"/>
      <c r="S29" s="316"/>
      <c r="T29" s="125"/>
      <c r="U29" s="125"/>
      <c r="V29" s="125"/>
      <c r="W29" s="407"/>
      <c r="X29" s="125"/>
    </row>
    <row r="30" spans="1:24" ht="15" x14ac:dyDescent="0.25">
      <c r="F30" s="43" t="s">
        <v>50</v>
      </c>
      <c r="G30" s="43"/>
      <c r="H30" s="2"/>
      <c r="I30" s="2"/>
      <c r="J30" s="2"/>
      <c r="K30" s="5"/>
      <c r="M30" s="316"/>
      <c r="N30" s="316"/>
      <c r="O30" s="316"/>
      <c r="P30" s="316"/>
      <c r="Q30" s="125"/>
      <c r="R30" s="125"/>
      <c r="S30" s="316"/>
      <c r="T30" s="125"/>
      <c r="U30" s="125"/>
      <c r="V30" s="125"/>
      <c r="W30" s="407"/>
      <c r="X30" s="125"/>
    </row>
  </sheetData>
  <mergeCells count="36">
    <mergeCell ref="T15:T16"/>
    <mergeCell ref="U15:U16"/>
    <mergeCell ref="V15:V16"/>
    <mergeCell ref="F19:F20"/>
    <mergeCell ref="H19:K19"/>
    <mergeCell ref="P15:R15"/>
    <mergeCell ref="L17:M17"/>
    <mergeCell ref="L18:M18"/>
    <mergeCell ref="A12:D12"/>
    <mergeCell ref="AI13:BA13"/>
    <mergeCell ref="BC13:BV13"/>
    <mergeCell ref="A14:D14"/>
    <mergeCell ref="F14:H14"/>
    <mergeCell ref="K14:K16"/>
    <mergeCell ref="L14:N14"/>
    <mergeCell ref="P14:R14"/>
    <mergeCell ref="S14:V14"/>
    <mergeCell ref="A15:A16"/>
    <mergeCell ref="B15:B16"/>
    <mergeCell ref="D15:D16"/>
    <mergeCell ref="F15:H15"/>
    <mergeCell ref="L15:N15"/>
    <mergeCell ref="S15:S16"/>
    <mergeCell ref="F12:W12"/>
    <mergeCell ref="A6:D6"/>
    <mergeCell ref="F6:V6"/>
    <mergeCell ref="A8:D8"/>
    <mergeCell ref="F8:V8"/>
    <mergeCell ref="A10:D10"/>
    <mergeCell ref="F10:V10"/>
    <mergeCell ref="A1:D4"/>
    <mergeCell ref="F1:T4"/>
    <mergeCell ref="U1:V1"/>
    <mergeCell ref="U2:V2"/>
    <mergeCell ref="U3:V3"/>
    <mergeCell ref="U4:V4"/>
  </mergeCells>
  <conditionalFormatting sqref="J17:J18 N17:N18">
    <cfRule type="containsText" dxfId="67" priority="13" operator="containsText" text="E">
      <formula>NOT(ISERROR(SEARCH("E",J17)))</formula>
    </cfRule>
    <cfRule type="containsText" dxfId="66" priority="14" operator="containsText" text="M">
      <formula>NOT(ISERROR(SEARCH("M",J17)))</formula>
    </cfRule>
    <cfRule type="containsText" dxfId="65" priority="15" operator="containsText" text="A">
      <formula>NOT(ISERROR(SEARCH("A",J17)))</formula>
    </cfRule>
    <cfRule type="containsText" dxfId="64" priority="16" operator="containsText" text="B">
      <formula>NOT(ISERROR(SEARCH("B",J17)))</formula>
    </cfRule>
  </conditionalFormatting>
  <dataValidations count="1">
    <dataValidation type="list" allowBlank="1" showInputMessage="1" showErrorMessage="1" promptTitle="AFECTA A:" prompt="Seleccione según a quien afecte el control" sqref="L17:M18">
      <formula1>#REF!</formula1>
    </dataValidation>
  </dataValidations>
  <pageMargins left="0.7" right="0.7" top="0.75" bottom="0.75" header="0.3" footer="0.3"/>
  <pageSetup scale="1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3</vt:i4>
      </vt:variant>
    </vt:vector>
  </HeadingPairs>
  <TitlesOfParts>
    <vt:vector size="21" baseType="lpstr">
      <vt:lpstr>MapaRiesgos Gest Comunicaci</vt:lpstr>
      <vt:lpstr>MapaRiesgos Gest Planeación</vt:lpstr>
      <vt:lpstr>MapaRiesgos Gener datos e inf </vt:lpstr>
      <vt:lpstr>MapaRiesgos Gen Conoci e Inv </vt:lpstr>
      <vt:lpstr>Mapa Riesgos Acreditac. de labo</vt:lpstr>
      <vt:lpstr>Mapa Riesgos Serv. Laboratorio</vt:lpstr>
      <vt:lpstr>MapaRiesgos Gest Juríd Contract</vt:lpstr>
      <vt:lpstr>MapaRiesgos Atención ciudadano</vt:lpstr>
      <vt:lpstr>MapaRiesgos Gest Finan-Contab</vt:lpstr>
      <vt:lpstr>MapaRiesgos Gest Finan-Presupue</vt:lpstr>
      <vt:lpstr>MapaRiesgos Gest Finan-Tesorerí</vt:lpstr>
      <vt:lpstr>MapaRiesgos Gest Informática</vt:lpstr>
      <vt:lpstr>MapaRiesgos Serv Adtivos</vt:lpstr>
      <vt:lpstr>MapaRiesgos Gest Des Talento H</vt:lpstr>
      <vt:lpstr>MapaRiesgo Gest Cont Discip Int</vt:lpstr>
      <vt:lpstr>MapaRiesgos Gest Mejoram Contin</vt:lpstr>
      <vt:lpstr>Mapa de Riesgos Ges Docum.</vt:lpstr>
      <vt:lpstr>Hoja1</vt:lpstr>
      <vt:lpstr>'MapaRiesgos Atención ciudadano'!Área_de_impresión</vt:lpstr>
      <vt:lpstr>'MapaRiesgos Gen Conoci e Inv '!Área_de_impresión</vt:lpstr>
      <vt:lpstr>'MapaRiesgos Gener datos e inf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Sirley Johana Corredor Monsalve</dc:creator>
  <cp:lastModifiedBy>Hector Nemesio Angarita Niño</cp:lastModifiedBy>
  <cp:lastPrinted>2017-12-04T17:10:35Z</cp:lastPrinted>
  <dcterms:created xsi:type="dcterms:W3CDTF">2016-03-29T14:13:21Z</dcterms:created>
  <dcterms:modified xsi:type="dcterms:W3CDTF">2018-12-18T16:28:42Z</dcterms:modified>
</cp:coreProperties>
</file>